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026"/>
  <workbookPr/>
  <mc:AlternateContent xmlns:mc="http://schemas.openxmlformats.org/markup-compatibility/2006">
    <mc:Choice Requires="x15">
      <x15ac:absPath xmlns:x15ac="http://schemas.microsoft.com/office/spreadsheetml/2010/11/ac" url="C:\Users\virgi\Documents\git_hubby\my_repos\ghproj_sare18\manu\"/>
    </mc:Choice>
  </mc:AlternateContent>
  <xr:revisionPtr revIDLastSave="0" documentId="8_{B73FAF1B-A061-4933-9E24-564563475CAE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Pore Diameters" sheetId="1" r:id="rId1"/>
  </sheets>
  <externalReferences>
    <externalReference r:id="rId2"/>
  </externalReferences>
  <definedNames>
    <definedName name="_xlchart.v1.0" hidden="1">'Pore Diameters'!$J$208:$K$223</definedName>
    <definedName name="_xlchart.v1.1" hidden="1">'Pore Diameters'!$L$208:$L$223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56" i="1" l="1"/>
  <c r="J256" i="1"/>
  <c r="J258" i="1" s="1"/>
  <c r="G250" i="1"/>
  <c r="G249" i="1"/>
  <c r="G248" i="1"/>
  <c r="G247" i="1"/>
  <c r="H236" i="1"/>
  <c r="G236" i="1"/>
  <c r="H235" i="1"/>
  <c r="G235" i="1"/>
  <c r="H234" i="1"/>
  <c r="H241" i="1" s="1"/>
  <c r="G234" i="1"/>
  <c r="H233" i="1"/>
  <c r="G233" i="1"/>
  <c r="H232" i="1"/>
  <c r="G232" i="1"/>
  <c r="H231" i="1"/>
  <c r="G231" i="1"/>
  <c r="H230" i="1"/>
  <c r="H240" i="1" s="1"/>
  <c r="G230" i="1"/>
  <c r="G240" i="1" s="1"/>
  <c r="L223" i="1"/>
  <c r="I223" i="1"/>
  <c r="H223" i="1"/>
  <c r="L215" i="1"/>
  <c r="G207" i="1"/>
  <c r="G206" i="1"/>
  <c r="G205" i="1"/>
  <c r="G204" i="1"/>
  <c r="H193" i="1"/>
  <c r="G193" i="1"/>
  <c r="H192" i="1"/>
  <c r="G192" i="1"/>
  <c r="H191" i="1"/>
  <c r="G191" i="1"/>
  <c r="G198" i="1" s="1"/>
  <c r="H190" i="1"/>
  <c r="G190" i="1"/>
  <c r="H189" i="1"/>
  <c r="G189" i="1"/>
  <c r="H188" i="1"/>
  <c r="G188" i="1"/>
  <c r="H187" i="1"/>
  <c r="G187" i="1"/>
  <c r="G197" i="1" s="1"/>
  <c r="G176" i="1"/>
  <c r="G175" i="1"/>
  <c r="G174" i="1"/>
  <c r="G173" i="1"/>
  <c r="H162" i="1"/>
  <c r="G162" i="1"/>
  <c r="H161" i="1"/>
  <c r="G161" i="1"/>
  <c r="H160" i="1"/>
  <c r="H167" i="1" s="1"/>
  <c r="G160" i="1"/>
  <c r="H159" i="1"/>
  <c r="G159" i="1"/>
  <c r="H158" i="1"/>
  <c r="G158" i="1"/>
  <c r="H157" i="1"/>
  <c r="G157" i="1"/>
  <c r="H156" i="1"/>
  <c r="H166" i="1" s="1"/>
  <c r="G156" i="1"/>
  <c r="G149" i="1"/>
  <c r="G148" i="1"/>
  <c r="G147" i="1"/>
  <c r="G146" i="1"/>
  <c r="H130" i="1"/>
  <c r="G130" i="1"/>
  <c r="H129" i="1"/>
  <c r="G129" i="1"/>
  <c r="H128" i="1"/>
  <c r="G128" i="1"/>
  <c r="G135" i="1" s="1"/>
  <c r="H127" i="1"/>
  <c r="G127" i="1"/>
  <c r="H126" i="1"/>
  <c r="G126" i="1"/>
  <c r="H125" i="1"/>
  <c r="G125" i="1"/>
  <c r="H124" i="1"/>
  <c r="G124" i="1"/>
  <c r="G134" i="1" s="1"/>
  <c r="G111" i="1"/>
  <c r="G110" i="1"/>
  <c r="G109" i="1"/>
  <c r="G108" i="1"/>
  <c r="H92" i="1"/>
  <c r="G92" i="1"/>
  <c r="H91" i="1"/>
  <c r="G91" i="1"/>
  <c r="H90" i="1"/>
  <c r="H97" i="1" s="1"/>
  <c r="G90" i="1"/>
  <c r="H89" i="1"/>
  <c r="G89" i="1"/>
  <c r="H88" i="1"/>
  <c r="G88" i="1"/>
  <c r="H87" i="1"/>
  <c r="G87" i="1"/>
  <c r="G96" i="1" s="1"/>
  <c r="H86" i="1"/>
  <c r="H96" i="1" s="1"/>
  <c r="G86" i="1"/>
  <c r="T84" i="1"/>
  <c r="T83" i="1"/>
  <c r="T82" i="1"/>
  <c r="G82" i="1"/>
  <c r="T81" i="1"/>
  <c r="T80" i="1"/>
  <c r="T72" i="1"/>
  <c r="H72" i="1"/>
  <c r="G72" i="1"/>
  <c r="T71" i="1"/>
  <c r="H71" i="1"/>
  <c r="H73" i="1" s="1"/>
  <c r="G71" i="1"/>
  <c r="T70" i="1"/>
  <c r="T69" i="1"/>
  <c r="T68" i="1"/>
  <c r="T86" i="1" l="1"/>
  <c r="G97" i="1"/>
  <c r="G166" i="1"/>
  <c r="G169" i="1" s="1"/>
  <c r="G167" i="1"/>
  <c r="G241" i="1"/>
  <c r="H225" i="1"/>
  <c r="T74" i="1"/>
  <c r="H134" i="1"/>
  <c r="H137" i="1" s="1"/>
  <c r="H135" i="1"/>
  <c r="H197" i="1"/>
  <c r="H198" i="1"/>
  <c r="G99" i="1"/>
  <c r="H243" i="1"/>
  <c r="G73" i="1"/>
  <c r="G76" i="1" s="1"/>
  <c r="G94" i="1"/>
  <c r="G100" i="1" s="1"/>
  <c r="G132" i="1"/>
  <c r="G138" i="1" s="1"/>
  <c r="G164" i="1"/>
  <c r="G170" i="1" s="1"/>
  <c r="G195" i="1"/>
  <c r="G201" i="1" s="1"/>
  <c r="H238" i="1"/>
  <c r="H244" i="1" s="1"/>
  <c r="H94" i="1"/>
  <c r="H100" i="1" s="1"/>
  <c r="H132" i="1"/>
  <c r="H138" i="1" s="1"/>
  <c r="H164" i="1"/>
  <c r="H170" i="1" s="1"/>
  <c r="H195" i="1"/>
  <c r="H201" i="1" s="1"/>
  <c r="G238" i="1"/>
  <c r="G244" i="1" s="1"/>
  <c r="H200" i="1" l="1"/>
  <c r="H169" i="1"/>
  <c r="H99" i="1"/>
  <c r="G243" i="1"/>
  <c r="G200" i="1"/>
  <c r="G137" i="1"/>
  <c r="G75" i="1"/>
</calcChain>
</file>

<file path=xl/sharedStrings.xml><?xml version="1.0" encoding="utf-8"?>
<sst xmlns="http://schemas.openxmlformats.org/spreadsheetml/2006/main" count="367" uniqueCount="63">
  <si>
    <t>Fraction of Total Pore Space</t>
  </si>
  <si>
    <t xml:space="preserve">Pore Diameter </t>
  </si>
  <si>
    <t>macropore ≥75µm</t>
  </si>
  <si>
    <t>mesopore 30-75µm</t>
  </si>
  <si>
    <t>micropore 5-30µm</t>
  </si>
  <si>
    <r>
      <rPr>
        <b/>
        <sz val="11"/>
        <color theme="1"/>
        <rFont val="Calibri"/>
        <family val="2"/>
      </rPr>
      <t>ǀ</t>
    </r>
    <r>
      <rPr>
        <b/>
        <sz val="11"/>
        <color theme="1"/>
        <rFont val="Calibri"/>
        <family val="2"/>
        <scheme val="minor"/>
      </rPr>
      <t>h</t>
    </r>
    <r>
      <rPr>
        <b/>
        <sz val="11"/>
        <color theme="1"/>
        <rFont val="Calibri"/>
        <family val="2"/>
      </rPr>
      <t>ǀ</t>
    </r>
  </si>
  <si>
    <t>0-40</t>
  </si>
  <si>
    <t>40-100</t>
  </si>
  <si>
    <t>100-600</t>
  </si>
  <si>
    <t xml:space="preserve">PoreDiameters </t>
  </si>
  <si>
    <t>d=0.3/h</t>
  </si>
  <si>
    <t>h= pressure head</t>
  </si>
  <si>
    <t>source:</t>
  </si>
  <si>
    <t>d (cm)</t>
  </si>
  <si>
    <t>h</t>
  </si>
  <si>
    <t>CC pore size distribution % (avg)</t>
  </si>
  <si>
    <t>NC pore size distribution % (avg)</t>
  </si>
  <si>
    <t>pore diameter (µm)</t>
  </si>
  <si>
    <t>n/a</t>
  </si>
  <si>
    <t>300-1200 µm</t>
  </si>
  <si>
    <t>120-300 µm</t>
  </si>
  <si>
    <t>60-120 µm</t>
  </si>
  <si>
    <t>30-60 µm</t>
  </si>
  <si>
    <t>15-30 µm</t>
  </si>
  <si>
    <t>6-15 µm</t>
  </si>
  <si>
    <t>0-6 µm</t>
  </si>
  <si>
    <t xml:space="preserve">pore classification </t>
  </si>
  <si>
    <t>CC pore size distribution</t>
  </si>
  <si>
    <t>Macropore</t>
  </si>
  <si>
    <t>Mesopore</t>
  </si>
  <si>
    <t>Micropore</t>
  </si>
  <si>
    <t>Σ</t>
  </si>
  <si>
    <t>macropore ≥1200-30µm</t>
  </si>
  <si>
    <t>micropore 6-30µm</t>
  </si>
  <si>
    <t>Capillary Rise Eq.</t>
  </si>
  <si>
    <t>0-100</t>
  </si>
  <si>
    <t>pore neck diameter (µm)</t>
  </si>
  <si>
    <t xml:space="preserve"> Pore Distribution (cover crop)</t>
  </si>
  <si>
    <t>Pore Distribution (control)</t>
  </si>
  <si>
    <t>Cover Crop</t>
  </si>
  <si>
    <t>Control</t>
  </si>
  <si>
    <t>CC</t>
  </si>
  <si>
    <t>x</t>
  </si>
  <si>
    <t>y</t>
  </si>
  <si>
    <t>A</t>
  </si>
  <si>
    <t>NC</t>
  </si>
  <si>
    <t>Area under Curve</t>
  </si>
  <si>
    <t>~Θv from Sat. to FC</t>
  </si>
  <si>
    <t>cover crop</t>
  </si>
  <si>
    <t>control</t>
  </si>
  <si>
    <t>2015+2016</t>
  </si>
  <si>
    <t>2015+2016+2017</t>
  </si>
  <si>
    <t>2015-2018</t>
  </si>
  <si>
    <t>Macropore Vol. Fraction (65.7%)</t>
  </si>
  <si>
    <t>Micropore Vol. Fraction (34.3%)</t>
  </si>
  <si>
    <t>Macropore Vol. Fraction (55.6%)</t>
  </si>
  <si>
    <t>cc</t>
  </si>
  <si>
    <t>nc</t>
  </si>
  <si>
    <t>Micropore Vol. Fraction (44.4%)</t>
  </si>
  <si>
    <t>Trt Δ Macropore</t>
  </si>
  <si>
    <t>(+)10.132</t>
  </si>
  <si>
    <t>2015-2019</t>
  </si>
  <si>
    <t>(+) 8.8345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</si>
</sst>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sz val="11"/>
      <color rgb="FF9C5700"/>
      <name val="Calibri"/>
      <family val="2"/>
      <scheme val="minor"/>
    </font>
    <font>
      <sz val="11"/>
      <color theme="1"/>
      <name val="Calibri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7" tint="0.39997558519241921"/>
        <bgColor indexed="65"/>
      </patternFill>
    </fill>
  </fills>
  <borders count="1">
    <border>
      <left/>
      <right/>
      <top/>
      <bottom/>
      <diagonal/>
    </border>
  </borders>
  <cellStyleXfs count="6">
    <xf numFmtId="0" fontId="0" fillId="0" borderId="0"/>
    <xf numFmtId="0" fontId="2" fillId="2" borderId="0" applyNumberFormat="0" applyBorder="0" applyAlignment="0" applyProtection="0"/>
    <xf numFmtId="0" fontId="3" fillId="3" borderId="0" applyNumberFormat="0" applyBorder="0" applyAlignment="0" applyProtection="0"/>
    <xf numFmtId="0" fontId="6" fillId="4" borderId="0" applyNumberFormat="0" applyBorder="0" applyAlignment="0" applyProtection="0"/>
    <xf numFmtId="0" fontId="1" fillId="5" borderId="0" applyNumberFormat="0" applyBorder="0" applyAlignment="0" applyProtection="0"/>
    <xf numFmtId="0" fontId="8" fillId="0" borderId="0"/>
  </cellStyleXfs>
  <cellXfs count="22">
    <xf numFmtId="0" fontId="0" fillId="0" borderId="0" xfId="0"/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0" xfId="0" applyFont="1" applyAlignment="1">
      <alignment horizontal="left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0" xfId="0" quotePrefix="1" applyAlignment="1">
      <alignment horizontal="center"/>
    </xf>
    <xf numFmtId="2" fontId="0" fillId="0" borderId="0" xfId="0" applyNumberFormat="1" applyAlignment="1">
      <alignment horizontal="center"/>
    </xf>
    <xf numFmtId="16" fontId="0" fillId="0" borderId="0" xfId="0" quotePrefix="1" applyNumberFormat="1" applyAlignment="1">
      <alignment horizontal="center"/>
    </xf>
    <xf numFmtId="0" fontId="6" fillId="4" borderId="0" xfId="3" applyAlignment="1">
      <alignment horizontal="center"/>
    </xf>
    <xf numFmtId="0" fontId="7" fillId="0" borderId="0" xfId="0" applyFont="1" applyAlignment="1">
      <alignment horizontal="center"/>
    </xf>
    <xf numFmtId="0" fontId="3" fillId="3" borderId="0" xfId="2"/>
    <xf numFmtId="0" fontId="3" fillId="3" borderId="0" xfId="2" applyAlignment="1">
      <alignment horizontal="center"/>
    </xf>
    <xf numFmtId="0" fontId="3" fillId="3" borderId="0" xfId="2" applyAlignment="1">
      <alignment horizontal="left"/>
    </xf>
    <xf numFmtId="0" fontId="1" fillId="5" borderId="0" xfId="4"/>
    <xf numFmtId="0" fontId="6" fillId="4" borderId="0" xfId="3"/>
    <xf numFmtId="0" fontId="3" fillId="3" borderId="0" xfId="2" applyAlignment="1">
      <alignment horizontal="right"/>
    </xf>
    <xf numFmtId="0" fontId="8" fillId="0" borderId="0" xfId="5" applyAlignment="1">
      <alignment horizontal="center"/>
    </xf>
    <xf numFmtId="0" fontId="5" fillId="0" borderId="0" xfId="0" applyFont="1" applyAlignment="1">
      <alignment horizontal="right"/>
    </xf>
    <xf numFmtId="0" fontId="2" fillId="2" borderId="0" xfId="1"/>
    <xf numFmtId="164" fontId="2" fillId="2" borderId="0" xfId="1" applyNumberFormat="1"/>
    <xf numFmtId="0" fontId="4" fillId="0" borderId="0" xfId="0" applyFont="1" applyAlignment="1">
      <alignment horizontal="left"/>
    </xf>
  </cellXfs>
  <cellStyles count="6">
    <cellStyle name="60% - Accent4 2" xfId="4" xr:uid="{00000000-0005-0000-0000-000000000000}"/>
    <cellStyle name="Bad" xfId="2" builtinId="27"/>
    <cellStyle name="Good" xfId="1" builtinId="26"/>
    <cellStyle name="Neutral" xfId="3" builtinId="28"/>
    <cellStyle name="Normal" xfId="0" builtinId="0"/>
    <cellStyle name="Normal 2 2" xfId="5" xr:uid="{00000000-0005-0000-0000-000005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'[1]Pressure Cell 2015'!$K$218</c:f>
              <c:strCache>
                <c:ptCount val="1"/>
                <c:pt idx="0">
                  <c:v>CC pore size distribution</c:v>
                </c:pt>
              </c:strCache>
            </c:strRef>
          </c:tx>
          <c:explosion val="1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3D95-4C32-BC28-EFE6F830751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3D95-4C32-BC28-EFE6F830751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3D95-4C32-BC28-EFE6F8307519}"/>
              </c:ext>
            </c:extLst>
          </c:dPt>
          <c:cat>
            <c:strRef>
              <c:f>'[1]Pressure Cell 2015'!$J$219:$J$221</c:f>
              <c:strCache>
                <c:ptCount val="3"/>
                <c:pt idx="0">
                  <c:v>Macropore</c:v>
                </c:pt>
                <c:pt idx="1">
                  <c:v>Mesopore</c:v>
                </c:pt>
                <c:pt idx="2">
                  <c:v>Micropore</c:v>
                </c:pt>
              </c:strCache>
            </c:strRef>
          </c:cat>
          <c:val>
            <c:numRef>
              <c:f>'[1]Pressure Cell 2015'!$K$219:$K$221</c:f>
              <c:numCache>
                <c:formatCode>General</c:formatCode>
                <c:ptCount val="3"/>
                <c:pt idx="0">
                  <c:v>27.654363933354563</c:v>
                </c:pt>
                <c:pt idx="1">
                  <c:v>19.371719668807934</c:v>
                </c:pt>
                <c:pt idx="2">
                  <c:v>52.973916397837492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D95-4C32-BC28-EFE6F83075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 (cover crop)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'Pore Diameters'!$F$99</c:f>
              <c:strCache>
                <c:ptCount val="1"/>
                <c:pt idx="0">
                  <c:v>Macropore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'Pore Diameters'!$G$99</c:f>
              <c:numCache>
                <c:formatCode>General</c:formatCode>
                <c:ptCount val="1"/>
                <c:pt idx="0">
                  <c:v>0.571907600596126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7A-4920-8A83-4541AEC756F6}"/>
            </c:ext>
          </c:extLst>
        </c:ser>
        <c:ser>
          <c:idx val="1"/>
          <c:order val="1"/>
          <c:tx>
            <c:strRef>
              <c:f>'Pore Diameters'!$F$100</c:f>
              <c:strCache>
                <c:ptCount val="1"/>
                <c:pt idx="0">
                  <c:v>Micropore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'Pore Diameters'!$G$100</c:f>
              <c:numCache>
                <c:formatCode>General</c:formatCode>
                <c:ptCount val="1"/>
                <c:pt idx="0">
                  <c:v>0.42809239940387411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67A-4920-8A83-4541AEC756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25261200"/>
        <c:axId val="225262448"/>
      </c:barChart>
      <c:catAx>
        <c:axId val="2252612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2448"/>
        <c:crosses val="autoZero"/>
        <c:auto val="1"/>
        <c:lblAlgn val="ctr"/>
        <c:lblOffset val="100"/>
        <c:noMultiLvlLbl val="0"/>
      </c:catAx>
      <c:valAx>
        <c:axId val="2252624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1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599-4718-B0E4-1089429D3C9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599-4718-B0E4-1089429D3C98}"/>
              </c:ext>
            </c:extLst>
          </c:dPt>
          <c:cat>
            <c:multiLvlStrRef>
              <c:f>'Pore Diameters'!$E$108:$F$111</c:f>
              <c:multiLvlStrCache>
                <c:ptCount val="4"/>
                <c:lvl>
                  <c:pt idx="0">
                    <c:v>Macropore</c:v>
                  </c:pt>
                  <c:pt idx="1">
                    <c:v>Micropore</c:v>
                  </c:pt>
                  <c:pt idx="2">
                    <c:v>Macropore</c:v>
                  </c:pt>
                  <c:pt idx="3">
                    <c:v>Micropore</c:v>
                  </c:pt>
                </c:lvl>
                <c:lvl>
                  <c:pt idx="0">
                    <c:v>cover crop</c:v>
                  </c:pt>
                  <c:pt idx="2">
                    <c:v>control</c:v>
                  </c:pt>
                </c:lvl>
              </c:multiLvlStrCache>
            </c:multiLvlStrRef>
          </c:cat>
          <c:val>
            <c:numRef>
              <c:f>'Pore Diameters'!$G$108:$G$111</c:f>
              <c:numCache>
                <c:formatCode>General</c:formatCode>
                <c:ptCount val="4"/>
                <c:pt idx="0">
                  <c:v>57.1907600596126</c:v>
                </c:pt>
                <c:pt idx="1">
                  <c:v>42.8092399403874</c:v>
                </c:pt>
                <c:pt idx="2">
                  <c:v>42.318840579710198</c:v>
                </c:pt>
                <c:pt idx="3">
                  <c:v>57.681159420289795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599-4718-B0E4-1089429D3C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25272016"/>
        <c:axId val="225261616"/>
      </c:barChart>
      <c:catAx>
        <c:axId val="2252720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1616"/>
        <c:crosses val="autoZero"/>
        <c:auto val="1"/>
        <c:lblAlgn val="ctr"/>
        <c:lblOffset val="100"/>
        <c:noMultiLvlLbl val="0"/>
      </c:catAx>
      <c:valAx>
        <c:axId val="225261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%</a:t>
                </a:r>
                <a:r>
                  <a:rPr lang="en-US" baseline="0"/>
                  <a:t> Pore Volume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Distributions (2015-2016)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571-4269-BE98-014D5062F8C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571-4269-BE98-014D5062F8C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571-4269-BE98-014D5062F8C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571-4269-BE98-014D5062F8CE}"/>
              </c:ext>
            </c:extLst>
          </c:dPt>
          <c:cat>
            <c:multiLvlStrRef>
              <c:f>'Pore Diameters'!$Q$136:$R$143</c:f>
              <c:multiLvlStrCache>
                <c:ptCount val="7"/>
                <c:lvl>
                  <c:pt idx="0">
                    <c:v>Macropore</c:v>
                  </c:pt>
                  <c:pt idx="2">
                    <c:v>Micropore</c:v>
                  </c:pt>
                  <c:pt idx="4">
                    <c:v>Macropore</c:v>
                  </c:pt>
                  <c:pt idx="6">
                    <c:v>Micropore</c:v>
                  </c:pt>
                </c:lvl>
                <c:lvl>
                  <c:pt idx="0">
                    <c:v>cover crop</c:v>
                  </c:pt>
                  <c:pt idx="4">
                    <c:v>control</c:v>
                  </c:pt>
                </c:lvl>
              </c:multiLvlStrCache>
            </c:multiLvlStrRef>
          </c:cat>
          <c:val>
            <c:numRef>
              <c:f>'Pore Diameters'!$S$136:$S$143</c:f>
              <c:numCache>
                <c:formatCode>General</c:formatCode>
                <c:ptCount val="8"/>
                <c:pt idx="0">
                  <c:v>57.1907600596126</c:v>
                </c:pt>
                <c:pt idx="1">
                  <c:v>66.254314546939597</c:v>
                </c:pt>
                <c:pt idx="2">
                  <c:v>42.8092399403874</c:v>
                </c:pt>
                <c:pt idx="3">
                  <c:v>33.745685453060396</c:v>
                </c:pt>
                <c:pt idx="4">
                  <c:v>42.318840579710198</c:v>
                </c:pt>
                <c:pt idx="5">
                  <c:v>63.313491734509498</c:v>
                </c:pt>
                <c:pt idx="6">
                  <c:v>36.686508265490495</c:v>
                </c:pt>
                <c:pt idx="7">
                  <c:v>57.681159420289795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571-4269-BE98-014D5062F8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63566352"/>
        <c:axId val="363559696"/>
      </c:barChart>
      <c:catAx>
        <c:axId val="3635663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59696"/>
        <c:crosses val="autoZero"/>
        <c:auto val="1"/>
        <c:lblAlgn val="ctr"/>
        <c:lblOffset val="100"/>
        <c:noMultiLvlLbl val="0"/>
      </c:catAx>
      <c:valAx>
        <c:axId val="3635596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6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Distributions (2015-2017)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C8D-4AE0-9C02-B5A3F43D0A5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C8D-4AE0-9C02-B5A3F43D0A5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C8D-4AE0-9C02-B5A3F43D0A5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2C8D-4AE0-9C02-B5A3F43D0A5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2C8D-4AE0-9C02-B5A3F43D0A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2C8D-4AE0-9C02-B5A3F43D0A52}"/>
              </c:ext>
            </c:extLst>
          </c:dPt>
          <c:cat>
            <c:multiLvlStrRef>
              <c:f>'Pore Diameters'!$Q$173:$R$184</c:f>
              <c:multiLvlStrCache>
                <c:ptCount val="12"/>
                <c:lvl>
                  <c:pt idx="0">
                    <c:v>Macropore</c:v>
                  </c:pt>
                  <c:pt idx="5">
                    <c:v>Micropore</c:v>
                  </c:pt>
                  <c:pt idx="6">
                    <c:v>Macropore</c:v>
                  </c:pt>
                  <c:pt idx="11">
                    <c:v>Micropore</c:v>
                  </c:pt>
                </c:lvl>
                <c:lvl>
                  <c:pt idx="0">
                    <c:v>cover crop</c:v>
                  </c:pt>
                  <c:pt idx="6">
                    <c:v>control</c:v>
                  </c:pt>
                </c:lvl>
              </c:multiLvlStrCache>
            </c:multiLvlStrRef>
          </c:cat>
          <c:val>
            <c:numRef>
              <c:f>'Pore Diameters'!$S$173:$S$184</c:f>
              <c:numCache>
                <c:formatCode>General</c:formatCode>
                <c:ptCount val="12"/>
                <c:pt idx="0">
                  <c:v>57.1907600596126</c:v>
                </c:pt>
                <c:pt idx="1">
                  <c:v>68.083572426984489</c:v>
                </c:pt>
                <c:pt idx="2">
                  <c:v>66.254314546939597</c:v>
                </c:pt>
                <c:pt idx="3">
                  <c:v>42.8092399403874</c:v>
                </c:pt>
                <c:pt idx="4">
                  <c:v>33.745685453060396</c:v>
                </c:pt>
                <c:pt idx="5">
                  <c:v>31.9164275730155</c:v>
                </c:pt>
                <c:pt idx="6">
                  <c:v>42.318840579710198</c:v>
                </c:pt>
                <c:pt idx="7">
                  <c:v>63.313491734509498</c:v>
                </c:pt>
                <c:pt idx="8">
                  <c:v>55.817065942680202</c:v>
                </c:pt>
                <c:pt idx="9">
                  <c:v>57.681159420289795</c:v>
                </c:pt>
                <c:pt idx="10">
                  <c:v>44.182934057319798</c:v>
                </c:pt>
                <c:pt idx="11">
                  <c:v>36.686508265490495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C8D-4AE0-9C02-B5A3F43D0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63608784"/>
        <c:axId val="363598800"/>
      </c:barChart>
      <c:catAx>
        <c:axId val="3636087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98800"/>
        <c:crosses val="autoZero"/>
        <c:auto val="1"/>
        <c:lblAlgn val="ctr"/>
        <c:lblOffset val="100"/>
        <c:noMultiLvlLbl val="0"/>
      </c:catAx>
      <c:valAx>
        <c:axId val="363598800"/>
        <c:scaling>
          <c:orientation val="minMax"/>
          <c:max val="7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608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txData>
          <cx:v>Mean Pore Size Distributions (2015-2018)</cx:v>
        </cx:txData>
      </cx:tx>
      <cx:txPr>
        <a:bodyPr spcFirstLastPara="1" vertOverflow="ellipsis" wrap="square" lIns="0" tIns="0" rIns="0" bIns="0" anchor="ctr" anchorCtr="1"/>
        <a:lstStyle/>
        <a:p>
          <a:pPr algn="ctr">
            <a:defRPr/>
          </a:pPr>
          <a:r>
            <a:rPr lang="en-US"/>
            <a:t>Mean Pore Size Distributions (2015-2018)</a:t>
          </a:r>
        </a:p>
      </cx:txPr>
    </cx:title>
    <cx:plotArea>
      <cx:plotAreaRegion>
        <cx:series layoutId="treemap" uniqueId="{B6FA10E0-275D-4835-BE18-C515E7B2744C}">
          <cx:dataLabels pos="inEnd">
            <cx:txPr>
              <a:bodyPr spcFirstLastPara="1" vertOverflow="ellipsis" wrap="square" lIns="0" tIns="0" rIns="0" bIns="0" anchor="ctr" anchorCtr="1">
                <a:spAutoFit/>
              </a:bodyPr>
              <a:lstStyle/>
              <a:p>
                <a:pPr>
                  <a:defRPr sz="1050"/>
                </a:pPr>
                <a:endParaRPr lang="en-US" sz="1050"/>
              </a:p>
            </cx:txPr>
            <cx:visibility seriesName="0" categoryName="1" value="0"/>
            <cx:dataLabel idx="0" pos="inEnd">
              <cx:txPr>
                <a:bodyPr spcFirstLastPara="1" vertOverflow="ellipsis" wrap="square" lIns="0" tIns="0" rIns="0" bIns="0" anchor="ctr" anchorCtr="1">
                  <a:spAutoFit/>
                </a:bodyPr>
                <a:lstStyle/>
                <a:p>
                  <a:pPr>
                    <a:defRPr lang="en-US" sz="1050" b="1" i="0" u="none" strike="noStrike" kern="1200" baseline="0">
                      <a:solidFill>
                        <a:sysClr val="window" lastClr="FFFFFF"/>
                      </a:solidFill>
                      <a:latin typeface="Arial Black" panose="020B0A04020102020204" pitchFamily="34" charset="0"/>
                      <a:ea typeface="Arial Black" panose="020B0A04020102020204" pitchFamily="34" charset="0"/>
                      <a:cs typeface="Arial Black" panose="020B0A04020102020204" pitchFamily="34" charset="0"/>
                    </a:defRPr>
                  </a:pPr>
                  <a:r>
                    <a:rPr lang="en-US" sz="1050">
                      <a:latin typeface="Arial Black" panose="020B0A04020102020204" pitchFamily="34" charset="0"/>
                    </a:rPr>
                    <a:t>cover crop</a:t>
                  </a:r>
                </a:p>
              </cx:txPr>
              <cx:visibility seriesName="0" categoryName="1" value="0"/>
            </cx:dataLabel>
            <cx:dataLabel idx="3" pos="inEnd">
              <cx:txPr>
                <a:bodyPr spcFirstLastPara="1" vertOverflow="ellipsis" wrap="square" lIns="0" tIns="0" rIns="0" bIns="0" anchor="ctr" anchorCtr="1">
                  <a:spAutoFit/>
                </a:bodyPr>
                <a:lstStyle/>
                <a:p>
                  <a:pPr>
                    <a:defRPr lang="en-US" sz="1050" b="1" i="0" u="none" strike="noStrike" kern="1200" baseline="0">
                      <a:solidFill>
                        <a:sysClr val="window" lastClr="FFFFFF"/>
                      </a:solidFill>
                      <a:latin typeface="Arial Black" panose="020B0A04020102020204" pitchFamily="34" charset="0"/>
                      <a:ea typeface="Arial Black" panose="020B0A04020102020204" pitchFamily="34" charset="0"/>
                      <a:cs typeface="Arial Black" panose="020B0A04020102020204" pitchFamily="34" charset="0"/>
                    </a:defRPr>
                  </a:pPr>
                  <a:r>
                    <a:rPr lang="en-US" sz="1050">
                      <a:latin typeface="Arial Black" panose="020B0A04020102020204" pitchFamily="34" charset="0"/>
                    </a:rPr>
                    <a:t>control</a:t>
                  </a:r>
                </a:p>
              </cx:txPr>
              <cx:visibility seriesName="0" categoryName="1" value="0"/>
            </cx:dataLabel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  <cx:clrMapOvr bg1="lt1" tx1="dk1" bg2="lt2" tx2="dk2" accent1="accent1" accent2="accent2" accent3="accent3" accent4="accent4" accent5="accent5" accent6="accent6" hlink="hlink" folHlink="folHlink"/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7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  <cs:bodyPr lIns="38100" tIns="19050" rIns="38100" bIns="19050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dk1"/>
    </cs:fontRef>
  </cs:dropLine>
  <cs:errorBar>
    <cs:lnRef idx="0"/>
    <cs:fillRef idx="0"/>
    <cs:effectRef idx="0"/>
    <cs:fontRef idx="minor">
      <a:schemeClr val="dk1"/>
    </cs:fontRef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  <a:lumOff val="10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</cs:hiLoLine>
  <cs:leaderLine>
    <cs:lnRef idx="0"/>
    <cs:fillRef idx="0"/>
    <cs:effectRef idx="0"/>
    <cs:fontRef idx="minor">
      <a:schemeClr val="dk1"/>
    </cs:fontRef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microsoft.com/office/2014/relationships/chartEx" Target="../charts/chartEx1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19050</xdr:rowOff>
    </xdr:from>
    <xdr:to>
      <xdr:col>3</xdr:col>
      <xdr:colOff>390524</xdr:colOff>
      <xdr:row>31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0050"/>
          <a:ext cx="4257674" cy="567690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41</xdr:row>
      <xdr:rowOff>0</xdr:rowOff>
    </xdr:from>
    <xdr:to>
      <xdr:col>7</xdr:col>
      <xdr:colOff>47625</xdr:colOff>
      <xdr:row>55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19050</xdr:colOff>
      <xdr:row>91</xdr:row>
      <xdr:rowOff>171450</xdr:rowOff>
    </xdr:from>
    <xdr:to>
      <xdr:col>13</xdr:col>
      <xdr:colOff>590550</xdr:colOff>
      <xdr:row>106</xdr:row>
      <xdr:rowOff>57150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108</xdr:row>
      <xdr:rowOff>9525</xdr:rowOff>
    </xdr:from>
    <xdr:to>
      <xdr:col>13</xdr:col>
      <xdr:colOff>571500</xdr:colOff>
      <xdr:row>122</xdr:row>
      <xdr:rowOff>85725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581025</xdr:colOff>
      <xdr:row>124</xdr:row>
      <xdr:rowOff>9525</xdr:rowOff>
    </xdr:from>
    <xdr:to>
      <xdr:col>33</xdr:col>
      <xdr:colOff>428625</xdr:colOff>
      <xdr:row>141</xdr:row>
      <xdr:rowOff>123825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266699</xdr:colOff>
      <xdr:row>166</xdr:row>
      <xdr:rowOff>171449</xdr:rowOff>
    </xdr:from>
    <xdr:to>
      <xdr:col>29</xdr:col>
      <xdr:colOff>400050</xdr:colOff>
      <xdr:row>187</xdr:row>
      <xdr:rowOff>85725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85725</xdr:colOff>
      <xdr:row>199</xdr:row>
      <xdr:rowOff>38101</xdr:rowOff>
    </xdr:from>
    <xdr:to>
      <xdr:col>21</xdr:col>
      <xdr:colOff>542925</xdr:colOff>
      <xdr:row>224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154525" y="36431221"/>
              <a:ext cx="5334000" cy="46386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bm256/Desktop/Dissertation%20Master%20Data%20Sheet-%20Final%20v.4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rop Management"/>
      <sheetName val="Cover Crop Data"/>
      <sheetName val="Weather"/>
      <sheetName val="TC-TN 2015-2018 (Raw)"/>
      <sheetName val="Bulk Soil 2015-2018 "/>
      <sheetName val="SOM 2011-2019"/>
      <sheetName val="POXC 2015-2018"/>
      <sheetName val="CMIN &amp; WHC 2015-2018"/>
      <sheetName val="Summary Stats"/>
      <sheetName val="Aggregate 2016"/>
      <sheetName val="Pressure Cell Sieved  "/>
      <sheetName val="Pressure Cell 2015"/>
      <sheetName val="Pressure Cell 2016"/>
      <sheetName val="Pressure Cell 2017"/>
      <sheetName val="Pressure Cell 2018, 2019"/>
      <sheetName val="Boyd 42 SWR "/>
      <sheetName val="Boyd 44 SWR"/>
      <sheetName val="Boyd 42-44 SWR 2015-2019 "/>
      <sheetName val="Pore Diameters"/>
      <sheetName val="Hudson PTFs"/>
      <sheetName val="PSA"/>
      <sheetName val="Textur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18">
          <cell r="K218" t="str">
            <v>CC pore size distribution</v>
          </cell>
        </row>
        <row r="219">
          <cell r="J219" t="str">
            <v>Macropore</v>
          </cell>
          <cell r="K219">
            <v>27.654363933354563</v>
          </cell>
        </row>
        <row r="220">
          <cell r="J220" t="str">
            <v>Mesopore</v>
          </cell>
          <cell r="K220">
            <v>19.371719668807934</v>
          </cell>
        </row>
        <row r="221">
          <cell r="J221" t="str">
            <v>Micropore</v>
          </cell>
          <cell r="K221">
            <v>52.973916397837492</v>
          </cell>
        </row>
      </sheetData>
      <sheetData sheetId="12"/>
      <sheetData sheetId="13"/>
      <sheetData sheetId="14"/>
      <sheetData sheetId="15"/>
      <sheetData sheetId="16"/>
      <sheetData sheetId="17"/>
      <sheetData sheetId="18">
        <row r="99">
          <cell r="F99" t="str">
            <v>Macropore</v>
          </cell>
        </row>
      </sheetData>
      <sheetData sheetId="19"/>
      <sheetData sheetId="20"/>
      <sheetData sheetId="2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AA260"/>
  <sheetViews>
    <sheetView tabSelected="1" topLeftCell="A109" workbookViewId="0">
      <selection activeCell="E120" sqref="E120"/>
    </sheetView>
  </sheetViews>
  <sheetFormatPr defaultRowHeight="14.4" x14ac:dyDescent="0.3"/>
  <cols>
    <col min="2" max="2" width="27" customWidth="1"/>
    <col min="3" max="3" width="21.88671875" customWidth="1"/>
    <col min="4" max="4" width="18.33203125" customWidth="1"/>
    <col min="5" max="5" width="22.109375" customWidth="1"/>
    <col min="6" max="6" width="21.44140625" customWidth="1"/>
    <col min="7" max="7" width="27.109375" customWidth="1"/>
    <col min="8" max="8" width="24.44140625" customWidth="1"/>
    <col min="9" max="9" width="17.88671875" customWidth="1"/>
    <col min="10" max="10" width="22.33203125" customWidth="1"/>
    <col min="11" max="11" width="19.44140625" customWidth="1"/>
    <col min="12" max="12" width="9.109375" customWidth="1"/>
  </cols>
  <sheetData>
    <row r="1" spans="2:12" x14ac:dyDescent="0.3">
      <c r="B1" s="1" t="s">
        <v>0</v>
      </c>
      <c r="C1" s="1" t="s">
        <v>1</v>
      </c>
      <c r="E1" s="2"/>
      <c r="F1" s="2"/>
      <c r="G1" s="3"/>
      <c r="H1" s="4"/>
      <c r="I1" s="2" t="s">
        <v>2</v>
      </c>
      <c r="J1" s="2" t="s">
        <v>3</v>
      </c>
      <c r="K1" s="2" t="s">
        <v>4</v>
      </c>
    </row>
    <row r="2" spans="2:12" x14ac:dyDescent="0.3">
      <c r="H2" s="2" t="s">
        <v>5</v>
      </c>
      <c r="I2" s="4" t="s">
        <v>6</v>
      </c>
      <c r="J2" s="4" t="s">
        <v>7</v>
      </c>
      <c r="K2" s="4" t="s">
        <v>8</v>
      </c>
    </row>
    <row r="3" spans="2:12" x14ac:dyDescent="0.3">
      <c r="E3" s="2"/>
      <c r="F3" s="2"/>
      <c r="G3" s="21"/>
      <c r="H3" s="21"/>
      <c r="I3" s="1"/>
      <c r="K3" s="21"/>
      <c r="L3" s="21"/>
    </row>
    <row r="4" spans="2:12" x14ac:dyDescent="0.3">
      <c r="E4" s="4"/>
      <c r="F4" s="4"/>
      <c r="K4" s="5"/>
    </row>
    <row r="5" spans="2:12" x14ac:dyDescent="0.3">
      <c r="E5" s="4"/>
      <c r="F5" s="4"/>
      <c r="K5" s="5"/>
    </row>
    <row r="6" spans="2:12" x14ac:dyDescent="0.3">
      <c r="E6" s="4" t="s">
        <v>9</v>
      </c>
      <c r="F6" s="4" t="s">
        <v>10</v>
      </c>
      <c r="G6" t="s">
        <v>11</v>
      </c>
      <c r="I6" t="s">
        <v>2</v>
      </c>
      <c r="J6" t="s">
        <v>3</v>
      </c>
      <c r="K6" s="5" t="s">
        <v>4</v>
      </c>
      <c r="L6" t="s">
        <v>12</v>
      </c>
    </row>
    <row r="7" spans="2:12" x14ac:dyDescent="0.3">
      <c r="E7" s="4"/>
      <c r="F7" s="4"/>
      <c r="K7" s="5"/>
    </row>
    <row r="8" spans="2:12" x14ac:dyDescent="0.3">
      <c r="E8" s="4" t="s">
        <v>13</v>
      </c>
      <c r="F8" s="4" t="s">
        <v>14</v>
      </c>
      <c r="G8" t="s">
        <v>15</v>
      </c>
      <c r="I8" t="s">
        <v>16</v>
      </c>
      <c r="K8" s="5" t="s">
        <v>17</v>
      </c>
    </row>
    <row r="9" spans="2:12" x14ac:dyDescent="0.3">
      <c r="E9" s="4" t="s">
        <v>18</v>
      </c>
      <c r="F9" s="4">
        <v>0</v>
      </c>
      <c r="G9" t="s">
        <v>18</v>
      </c>
      <c r="I9" t="s">
        <v>18</v>
      </c>
      <c r="K9" s="4" t="s">
        <v>18</v>
      </c>
    </row>
    <row r="10" spans="2:12" x14ac:dyDescent="0.3">
      <c r="E10" s="4">
        <v>0.12</v>
      </c>
      <c r="F10" s="4">
        <v>2.5</v>
      </c>
      <c r="G10" s="4">
        <v>5.7060437627524108</v>
      </c>
      <c r="K10" s="4">
        <v>1200</v>
      </c>
    </row>
    <row r="11" spans="2:12" x14ac:dyDescent="0.3">
      <c r="E11" s="4">
        <v>0.03</v>
      </c>
      <c r="F11" s="4">
        <v>10</v>
      </c>
      <c r="G11" s="4">
        <v>2.1489329950753366</v>
      </c>
      <c r="K11" s="4">
        <v>300</v>
      </c>
    </row>
    <row r="12" spans="2:12" x14ac:dyDescent="0.3">
      <c r="E12" s="4">
        <v>1.2E-2</v>
      </c>
      <c r="F12" s="4">
        <v>25</v>
      </c>
      <c r="G12" s="4">
        <v>13.702912917492782</v>
      </c>
      <c r="K12" s="4">
        <v>120</v>
      </c>
    </row>
    <row r="13" spans="2:12" x14ac:dyDescent="0.3">
      <c r="E13" s="4">
        <v>6.0000000000000001E-3</v>
      </c>
      <c r="F13" s="2">
        <v>50</v>
      </c>
      <c r="G13" s="2">
        <v>15.101175223115693</v>
      </c>
      <c r="K13" s="4">
        <v>60</v>
      </c>
    </row>
    <row r="14" spans="2:12" x14ac:dyDescent="0.3">
      <c r="E14" s="4">
        <v>3.0000000000000001E-3</v>
      </c>
      <c r="F14" s="6">
        <v>100</v>
      </c>
      <c r="G14" s="7">
        <v>14.435886761032501</v>
      </c>
      <c r="K14" s="4">
        <v>30</v>
      </c>
    </row>
    <row r="15" spans="2:12" x14ac:dyDescent="0.3">
      <c r="E15" s="4">
        <v>1.5E-3</v>
      </c>
      <c r="F15" s="6">
        <v>200</v>
      </c>
      <c r="G15" s="7">
        <v>13.830434253740421</v>
      </c>
      <c r="K15" s="4">
        <v>15</v>
      </c>
    </row>
    <row r="16" spans="2:12" x14ac:dyDescent="0.3">
      <c r="E16" s="4">
        <v>5.9999999999999995E-4</v>
      </c>
      <c r="F16" s="6">
        <v>500</v>
      </c>
      <c r="G16" s="7">
        <v>13.029361942405293</v>
      </c>
      <c r="K16" s="4">
        <v>5.9999999999999991</v>
      </c>
    </row>
    <row r="17" spans="5:11" x14ac:dyDescent="0.3">
      <c r="F17" s="6"/>
      <c r="G17" s="7"/>
    </row>
    <row r="18" spans="5:11" x14ac:dyDescent="0.3">
      <c r="F18" s="6" t="s">
        <v>17</v>
      </c>
      <c r="G18" s="7" t="s">
        <v>15</v>
      </c>
    </row>
    <row r="19" spans="5:11" x14ac:dyDescent="0.3">
      <c r="F19" s="8" t="s">
        <v>19</v>
      </c>
      <c r="G19" s="7">
        <v>5.7060437627524108</v>
      </c>
    </row>
    <row r="20" spans="5:11" x14ac:dyDescent="0.3">
      <c r="F20" s="6" t="s">
        <v>20</v>
      </c>
      <c r="G20" s="7">
        <v>2.1489329950753366</v>
      </c>
    </row>
    <row r="21" spans="5:11" x14ac:dyDescent="0.3">
      <c r="F21" s="4" t="s">
        <v>21</v>
      </c>
      <c r="G21" s="4">
        <v>13.702912917492782</v>
      </c>
    </row>
    <row r="22" spans="5:11" x14ac:dyDescent="0.3">
      <c r="F22" s="4" t="s">
        <v>22</v>
      </c>
      <c r="G22" s="4">
        <v>15.101175223115693</v>
      </c>
    </row>
    <row r="23" spans="5:11" x14ac:dyDescent="0.3">
      <c r="E23" s="1"/>
      <c r="F23" s="2" t="s">
        <v>23</v>
      </c>
      <c r="G23" s="2">
        <v>14.435886761032501</v>
      </c>
      <c r="H23" s="1"/>
      <c r="I23" s="1"/>
      <c r="J23" s="1"/>
      <c r="K23" s="1"/>
    </row>
    <row r="24" spans="5:11" x14ac:dyDescent="0.3">
      <c r="F24" s="4" t="s">
        <v>24</v>
      </c>
      <c r="G24" s="4">
        <v>13.830434253740421</v>
      </c>
    </row>
    <row r="25" spans="5:11" x14ac:dyDescent="0.3">
      <c r="F25" s="4" t="s">
        <v>25</v>
      </c>
      <c r="G25" s="4">
        <v>13.029361942405293</v>
      </c>
    </row>
    <row r="28" spans="5:11" x14ac:dyDescent="0.3">
      <c r="E28" t="s">
        <v>17</v>
      </c>
      <c r="F28" t="s">
        <v>26</v>
      </c>
      <c r="G28" t="s">
        <v>27</v>
      </c>
      <c r="I28" t="s">
        <v>26</v>
      </c>
      <c r="J28" t="s">
        <v>27</v>
      </c>
    </row>
    <row r="29" spans="5:11" x14ac:dyDescent="0.3">
      <c r="E29" t="s">
        <v>19</v>
      </c>
      <c r="F29" t="s">
        <v>28</v>
      </c>
      <c r="G29" s="9">
        <v>5.7060437627524108</v>
      </c>
      <c r="I29" t="s">
        <v>28</v>
      </c>
      <c r="J29" s="4">
        <v>5.7060437627524108</v>
      </c>
      <c r="K29" s="4">
        <v>21.557889675320531</v>
      </c>
    </row>
    <row r="30" spans="5:11" x14ac:dyDescent="0.3">
      <c r="E30" t="s">
        <v>20</v>
      </c>
      <c r="F30" t="s">
        <v>28</v>
      </c>
      <c r="G30" s="9">
        <v>2.1489329950753366</v>
      </c>
      <c r="J30" s="4">
        <v>2.1489329950753366</v>
      </c>
      <c r="K30" s="4"/>
    </row>
    <row r="31" spans="5:11" x14ac:dyDescent="0.3">
      <c r="E31" t="s">
        <v>21</v>
      </c>
      <c r="F31" t="s">
        <v>28</v>
      </c>
      <c r="G31" s="9">
        <v>13.702912917492782</v>
      </c>
      <c r="J31" s="4">
        <v>13.702912917492782</v>
      </c>
      <c r="K31" s="4"/>
    </row>
    <row r="32" spans="5:11" x14ac:dyDescent="0.3">
      <c r="E32" t="s">
        <v>22</v>
      </c>
      <c r="F32" t="s">
        <v>29</v>
      </c>
      <c r="G32" s="9">
        <v>15.101175223115693</v>
      </c>
      <c r="I32" t="s">
        <v>29</v>
      </c>
      <c r="J32" s="10">
        <v>15.101175223115693</v>
      </c>
      <c r="K32" s="4">
        <v>15.101175223115693</v>
      </c>
    </row>
    <row r="33" spans="5:11" x14ac:dyDescent="0.3">
      <c r="E33" t="s">
        <v>23</v>
      </c>
      <c r="F33" t="s">
        <v>30</v>
      </c>
      <c r="G33" s="9">
        <v>14.435886761032501</v>
      </c>
      <c r="I33" t="s">
        <v>30</v>
      </c>
      <c r="J33" s="4">
        <v>14.435886761032501</v>
      </c>
      <c r="K33" s="4">
        <v>41.295682957178215</v>
      </c>
    </row>
    <row r="34" spans="5:11" x14ac:dyDescent="0.3">
      <c r="E34" t="s">
        <v>24</v>
      </c>
      <c r="F34" t="s">
        <v>30</v>
      </c>
      <c r="G34" s="9">
        <v>13.830434253740421</v>
      </c>
      <c r="J34" s="4">
        <v>13.830434253740421</v>
      </c>
      <c r="K34" s="4"/>
    </row>
    <row r="35" spans="5:11" x14ac:dyDescent="0.3">
      <c r="E35" t="s">
        <v>25</v>
      </c>
      <c r="F35" t="s">
        <v>30</v>
      </c>
      <c r="G35" s="9">
        <v>13.029361942405293</v>
      </c>
      <c r="J35" s="4">
        <v>13.029361942405293</v>
      </c>
      <c r="K35" s="4"/>
    </row>
    <row r="36" spans="5:11" x14ac:dyDescent="0.3">
      <c r="K36" s="4"/>
    </row>
    <row r="37" spans="5:11" x14ac:dyDescent="0.3">
      <c r="J37" t="s">
        <v>31</v>
      </c>
      <c r="K37" s="4">
        <v>77.954747855614443</v>
      </c>
    </row>
    <row r="43" spans="5:11" x14ac:dyDescent="0.3">
      <c r="I43" t="s">
        <v>26</v>
      </c>
      <c r="J43" t="s">
        <v>27</v>
      </c>
    </row>
    <row r="44" spans="5:11" x14ac:dyDescent="0.3">
      <c r="I44" t="s">
        <v>28</v>
      </c>
      <c r="J44">
        <v>27.654363933354563</v>
      </c>
    </row>
    <row r="45" spans="5:11" x14ac:dyDescent="0.3">
      <c r="I45" t="s">
        <v>29</v>
      </c>
      <c r="J45">
        <v>19.371719668807934</v>
      </c>
    </row>
    <row r="46" spans="5:11" x14ac:dyDescent="0.3">
      <c r="I46" t="s">
        <v>30</v>
      </c>
      <c r="J46">
        <v>52.973916397837492</v>
      </c>
    </row>
    <row r="57" spans="2:19" x14ac:dyDescent="0.3">
      <c r="B57" s="4"/>
      <c r="C57" s="2" t="s">
        <v>32</v>
      </c>
      <c r="D57" s="2" t="s">
        <v>33</v>
      </c>
      <c r="F57" s="2" t="s">
        <v>34</v>
      </c>
      <c r="G57" s="2" t="s">
        <v>10</v>
      </c>
    </row>
    <row r="58" spans="2:19" x14ac:dyDescent="0.3">
      <c r="B58" s="2" t="s">
        <v>5</v>
      </c>
      <c r="C58" s="4" t="s">
        <v>35</v>
      </c>
      <c r="D58" s="4" t="s">
        <v>8</v>
      </c>
    </row>
    <row r="59" spans="2:19" x14ac:dyDescent="0.3">
      <c r="F59" s="4"/>
      <c r="G59" s="4"/>
    </row>
    <row r="60" spans="2:19" x14ac:dyDescent="0.3">
      <c r="E60" s="4"/>
      <c r="F60" s="4"/>
      <c r="G60" s="4"/>
      <c r="J60" s="2">
        <v>2015</v>
      </c>
    </row>
    <row r="61" spans="2:19" x14ac:dyDescent="0.3">
      <c r="C61" s="11" t="s">
        <v>13</v>
      </c>
      <c r="D61" s="11" t="s">
        <v>14</v>
      </c>
      <c r="E61" s="12" t="s">
        <v>36</v>
      </c>
      <c r="F61" s="12" t="s">
        <v>26</v>
      </c>
      <c r="G61" s="12" t="s">
        <v>37</v>
      </c>
      <c r="H61" s="11" t="s">
        <v>38</v>
      </c>
      <c r="J61" s="2"/>
      <c r="K61" s="1">
        <v>0</v>
      </c>
      <c r="L61" s="1">
        <v>2.5</v>
      </c>
      <c r="M61" s="1">
        <v>10</v>
      </c>
      <c r="N61" s="1">
        <v>25</v>
      </c>
      <c r="O61" s="1">
        <v>50</v>
      </c>
      <c r="P61" s="1">
        <v>100</v>
      </c>
      <c r="Q61" s="1">
        <v>200</v>
      </c>
      <c r="R61" s="1">
        <v>500</v>
      </c>
      <c r="S61" s="1"/>
    </row>
    <row r="62" spans="2:19" x14ac:dyDescent="0.3">
      <c r="C62" s="13">
        <v>0.12</v>
      </c>
      <c r="D62" s="13">
        <v>2.5</v>
      </c>
      <c r="E62" s="11" t="s">
        <v>19</v>
      </c>
      <c r="F62" s="11" t="s">
        <v>28</v>
      </c>
      <c r="G62" s="12">
        <v>0.56185619587701408</v>
      </c>
      <c r="H62" s="11">
        <v>0.50015064048484847</v>
      </c>
      <c r="J62" s="2" t="s">
        <v>39</v>
      </c>
      <c r="K62">
        <v>0.59585600000000005</v>
      </c>
      <c r="L62">
        <v>0.56185619587701408</v>
      </c>
      <c r="M62">
        <v>0.54978228269893781</v>
      </c>
      <c r="N62">
        <v>0.47444609526489839</v>
      </c>
      <c r="O62">
        <v>0.4027991590797157</v>
      </c>
      <c r="P62">
        <v>0.3446515286005768</v>
      </c>
      <c r="Q62">
        <v>0.29698472553296268</v>
      </c>
      <c r="R62">
        <v>0.25828951072961404</v>
      </c>
    </row>
    <row r="63" spans="2:19" x14ac:dyDescent="0.3">
      <c r="C63" s="13">
        <v>0.03</v>
      </c>
      <c r="D63" s="13">
        <v>10</v>
      </c>
      <c r="E63" s="11" t="s">
        <v>20</v>
      </c>
      <c r="F63" s="11" t="s">
        <v>28</v>
      </c>
      <c r="G63" s="12">
        <v>0.54978228269893781</v>
      </c>
      <c r="H63" s="11">
        <v>0.47040253543434318</v>
      </c>
      <c r="J63" s="2" t="s">
        <v>40</v>
      </c>
      <c r="K63">
        <v>0.52590399999999993</v>
      </c>
      <c r="L63">
        <v>0.50015064048484847</v>
      </c>
      <c r="M63">
        <v>0.47040253543434318</v>
      </c>
      <c r="N63">
        <v>0.44847393228282834</v>
      </c>
      <c r="O63">
        <v>0.42663032371717158</v>
      </c>
      <c r="P63">
        <v>0.38706534399999998</v>
      </c>
      <c r="Q63">
        <v>0.33568611684848471</v>
      </c>
      <c r="R63">
        <v>0.29131894303030303</v>
      </c>
    </row>
    <row r="64" spans="2:19" x14ac:dyDescent="0.3">
      <c r="B64" s="2">
        <v>2015</v>
      </c>
      <c r="C64" s="13">
        <v>1.2E-2</v>
      </c>
      <c r="D64" s="13">
        <v>25</v>
      </c>
      <c r="E64" s="11" t="s">
        <v>21</v>
      </c>
      <c r="F64" s="11" t="s">
        <v>28</v>
      </c>
      <c r="G64" s="12">
        <v>0.47444609526489839</v>
      </c>
      <c r="H64" s="11">
        <v>0.44847393228282834</v>
      </c>
    </row>
    <row r="65" spans="3:21" x14ac:dyDescent="0.3">
      <c r="C65" s="13">
        <v>6.0000000000000001E-3</v>
      </c>
      <c r="D65" s="13">
        <v>50</v>
      </c>
      <c r="E65" s="11" t="s">
        <v>22</v>
      </c>
      <c r="F65" s="11" t="s">
        <v>28</v>
      </c>
      <c r="G65" s="12">
        <v>0.4027991590797157</v>
      </c>
      <c r="H65" s="11">
        <v>0.42663032371717158</v>
      </c>
    </row>
    <row r="66" spans="3:21" x14ac:dyDescent="0.3">
      <c r="C66" s="13">
        <v>3.0000000000000001E-3</v>
      </c>
      <c r="D66" s="13">
        <v>100</v>
      </c>
      <c r="E66" s="11" t="s">
        <v>23</v>
      </c>
      <c r="F66" s="11" t="s">
        <v>30</v>
      </c>
      <c r="G66" s="12">
        <v>0.3446515286005768</v>
      </c>
      <c r="H66" s="11">
        <v>0.38706534399999998</v>
      </c>
      <c r="Q66" s="14" t="s">
        <v>41</v>
      </c>
      <c r="R66" s="14"/>
      <c r="S66" s="14"/>
      <c r="T66" s="14"/>
      <c r="U66" s="14"/>
    </row>
    <row r="67" spans="3:21" x14ac:dyDescent="0.3">
      <c r="C67" s="13">
        <v>1.5E-3</v>
      </c>
      <c r="D67" s="13">
        <v>200</v>
      </c>
      <c r="E67" s="11" t="s">
        <v>24</v>
      </c>
      <c r="F67" s="11" t="s">
        <v>30</v>
      </c>
      <c r="G67" s="12">
        <v>0.29698472553296268</v>
      </c>
      <c r="H67" s="11">
        <v>0.33568611684848471</v>
      </c>
      <c r="Q67" s="15"/>
      <c r="R67" s="9" t="s">
        <v>42</v>
      </c>
      <c r="S67" s="9" t="s">
        <v>43</v>
      </c>
      <c r="T67" s="9" t="s">
        <v>44</v>
      </c>
      <c r="U67" s="15"/>
    </row>
    <row r="68" spans="3:21" x14ac:dyDescent="0.3">
      <c r="C68" s="13">
        <v>5.9999999999999995E-4</v>
      </c>
      <c r="D68" s="13">
        <v>500</v>
      </c>
      <c r="E68" s="11" t="s">
        <v>25</v>
      </c>
      <c r="F68" s="11" t="s">
        <v>30</v>
      </c>
      <c r="G68" s="12">
        <v>0.25828951072961404</v>
      </c>
      <c r="H68" s="11">
        <v>0.29131894303030303</v>
      </c>
      <c r="Q68" s="15"/>
      <c r="R68" s="15">
        <v>0</v>
      </c>
      <c r="S68" s="15">
        <v>0.59585600000000005</v>
      </c>
      <c r="T68" s="15">
        <f>(S68+S69)/2*(R69-R68)</f>
        <v>1.4471402448462678</v>
      </c>
      <c r="U68" s="15"/>
    </row>
    <row r="69" spans="3:21" x14ac:dyDescent="0.3">
      <c r="C69" s="11"/>
      <c r="D69" s="11"/>
      <c r="E69" s="11"/>
      <c r="F69" s="11"/>
      <c r="G69" s="11"/>
      <c r="H69" s="11"/>
      <c r="Q69" s="15"/>
      <c r="R69" s="15">
        <v>2.5</v>
      </c>
      <c r="S69" s="15">
        <v>0.56185619587701408</v>
      </c>
      <c r="T69" s="15">
        <f>(S69+S70)/2*(R70-R69)</f>
        <v>4.1686442946598197</v>
      </c>
      <c r="U69" s="15"/>
    </row>
    <row r="70" spans="3:21" x14ac:dyDescent="0.3">
      <c r="C70" s="11"/>
      <c r="D70" s="11"/>
      <c r="E70" s="11"/>
      <c r="F70" s="11"/>
      <c r="G70" s="11"/>
      <c r="H70" s="11"/>
      <c r="Q70" s="15"/>
      <c r="R70" s="15">
        <v>10</v>
      </c>
      <c r="S70" s="15">
        <v>0.54978228269893781</v>
      </c>
      <c r="T70" s="15">
        <f>(S70+S71)/2*(R71-R70)</f>
        <v>7.6817128347287706</v>
      </c>
      <c r="U70" s="15"/>
    </row>
    <row r="71" spans="3:21" x14ac:dyDescent="0.3">
      <c r="C71" s="11"/>
      <c r="D71" s="11"/>
      <c r="E71" s="16" t="s">
        <v>31</v>
      </c>
      <c r="F71" s="11" t="s">
        <v>28</v>
      </c>
      <c r="G71" s="11">
        <f>SUM(G62:G65)</f>
        <v>1.988883732920566</v>
      </c>
      <c r="H71" s="11">
        <f>SUM(H62:H65)</f>
        <v>1.8456574319191916</v>
      </c>
      <c r="Q71" s="15"/>
      <c r="R71" s="15">
        <v>25</v>
      </c>
      <c r="S71" s="15">
        <v>0.47444609526489839</v>
      </c>
      <c r="T71" s="15">
        <f>(S71+S72)/2*(R72-R71)</f>
        <v>10.965565679307677</v>
      </c>
      <c r="U71" s="15"/>
    </row>
    <row r="72" spans="3:21" x14ac:dyDescent="0.3">
      <c r="C72" s="11"/>
      <c r="D72" s="11"/>
      <c r="E72" s="11"/>
      <c r="F72" s="11" t="s">
        <v>30</v>
      </c>
      <c r="G72" s="11">
        <f>SUM(G66:G68)</f>
        <v>0.89992576486315345</v>
      </c>
      <c r="H72" s="11">
        <f>SUM(H66:H68)</f>
        <v>1.0140704038787876</v>
      </c>
      <c r="Q72" s="15"/>
      <c r="R72" s="15">
        <v>50</v>
      </c>
      <c r="S72" s="15">
        <v>0.4027991590797157</v>
      </c>
      <c r="T72" s="15">
        <f>(S72+S73)/2*(R73-R72)</f>
        <v>18.68626719200731</v>
      </c>
      <c r="U72" s="15"/>
    </row>
    <row r="73" spans="3:21" x14ac:dyDescent="0.3">
      <c r="C73" s="11"/>
      <c r="D73" s="11"/>
      <c r="E73" s="11"/>
      <c r="F73" s="11"/>
      <c r="G73" s="11">
        <f>SUM(G71:G72)</f>
        <v>2.8888094977837193</v>
      </c>
      <c r="H73" s="11">
        <f>SUM(H71:H72)</f>
        <v>2.8597278357979792</v>
      </c>
      <c r="Q73" s="15"/>
      <c r="R73" s="15">
        <v>100</v>
      </c>
      <c r="S73" s="15">
        <v>0.3446515286005768</v>
      </c>
      <c r="T73" s="15"/>
      <c r="U73" s="15"/>
    </row>
    <row r="74" spans="3:21" x14ac:dyDescent="0.3">
      <c r="C74" s="11"/>
      <c r="D74" s="11"/>
      <c r="E74" s="11"/>
      <c r="F74" s="11"/>
      <c r="G74" s="11"/>
      <c r="H74" s="11"/>
      <c r="Q74" s="9" t="s">
        <v>31</v>
      </c>
      <c r="R74" s="15"/>
      <c r="S74" s="15"/>
      <c r="T74" s="15">
        <f>SUM(T68:T73)</f>
        <v>42.949330245549845</v>
      </c>
      <c r="U74" s="15"/>
    </row>
    <row r="75" spans="3:21" x14ac:dyDescent="0.3">
      <c r="C75" s="11"/>
      <c r="D75" s="11"/>
      <c r="E75" s="11" t="s">
        <v>41</v>
      </c>
      <c r="F75" s="11" t="s">
        <v>28</v>
      </c>
      <c r="G75" s="11">
        <f>G71/G73</f>
        <v>0.68847867415502062</v>
      </c>
      <c r="H75" s="11">
        <v>0.64539618379599362</v>
      </c>
      <c r="Q75" s="15"/>
      <c r="R75" s="15"/>
      <c r="S75" s="15"/>
      <c r="T75" s="15"/>
      <c r="U75" s="15"/>
    </row>
    <row r="76" spans="3:21" x14ac:dyDescent="0.3">
      <c r="C76" s="11"/>
      <c r="D76" s="11"/>
      <c r="E76" s="11"/>
      <c r="F76" s="11" t="s">
        <v>30</v>
      </c>
      <c r="G76" s="11">
        <f>G72/G73</f>
        <v>0.31152132584497944</v>
      </c>
      <c r="H76" s="11">
        <v>0.35460381620400638</v>
      </c>
      <c r="Q76" s="15"/>
      <c r="R76" s="15"/>
      <c r="S76" s="15"/>
      <c r="T76" s="15"/>
      <c r="U76" s="15"/>
    </row>
    <row r="77" spans="3:21" x14ac:dyDescent="0.3">
      <c r="C77" s="11"/>
      <c r="D77" s="11"/>
      <c r="E77" s="11"/>
      <c r="F77" s="11"/>
      <c r="G77" s="11"/>
      <c r="H77" s="11"/>
      <c r="Q77" s="15"/>
      <c r="R77" s="15"/>
      <c r="S77" s="15"/>
      <c r="T77" s="15"/>
      <c r="U77" s="15"/>
    </row>
    <row r="78" spans="3:21" x14ac:dyDescent="0.3">
      <c r="C78" s="11"/>
      <c r="D78" s="11"/>
      <c r="E78" s="11" t="s">
        <v>45</v>
      </c>
      <c r="F78" s="11" t="s">
        <v>28</v>
      </c>
      <c r="G78" s="11">
        <v>0.64539618379599362</v>
      </c>
      <c r="H78" s="11"/>
      <c r="Q78" s="14" t="s">
        <v>45</v>
      </c>
      <c r="R78" s="14"/>
      <c r="S78" s="14"/>
      <c r="T78" s="14"/>
      <c r="U78" s="14"/>
    </row>
    <row r="79" spans="3:21" x14ac:dyDescent="0.3">
      <c r="C79" s="11"/>
      <c r="D79" s="11"/>
      <c r="E79" s="11"/>
      <c r="F79" s="11" t="s">
        <v>30</v>
      </c>
      <c r="G79" s="11">
        <v>0.35460381620400638</v>
      </c>
      <c r="H79" s="11"/>
      <c r="Q79" s="15"/>
      <c r="R79" s="9" t="s">
        <v>42</v>
      </c>
      <c r="S79" s="9" t="s">
        <v>43</v>
      </c>
      <c r="T79" s="9" t="s">
        <v>44</v>
      </c>
      <c r="U79" s="15"/>
    </row>
    <row r="80" spans="3:21" x14ac:dyDescent="0.3">
      <c r="C80" s="11"/>
      <c r="D80" s="11"/>
      <c r="E80" s="11"/>
      <c r="F80" s="11"/>
      <c r="G80" s="11"/>
      <c r="H80" s="11"/>
      <c r="Q80" s="15"/>
      <c r="R80" s="15">
        <v>0</v>
      </c>
      <c r="S80" s="15">
        <v>0.52590399999999993</v>
      </c>
      <c r="T80" s="15">
        <f>(S80+S81)/2*(R81-R80)</f>
        <v>1.2825683006060606</v>
      </c>
      <c r="U80" s="15"/>
    </row>
    <row r="81" spans="2:21" x14ac:dyDescent="0.3">
      <c r="C81" s="11"/>
      <c r="D81" s="11"/>
      <c r="E81" s="11"/>
      <c r="F81" s="11"/>
      <c r="G81" s="11"/>
      <c r="H81" s="11"/>
      <c r="Q81" s="15"/>
      <c r="R81" s="15">
        <v>2.5</v>
      </c>
      <c r="S81" s="15">
        <v>0.50015064048484847</v>
      </c>
      <c r="T81" s="15">
        <f>(S81+S82)/2*(R82-R81)</f>
        <v>3.6395744096969689</v>
      </c>
      <c r="U81" s="15"/>
    </row>
    <row r="82" spans="2:21" x14ac:dyDescent="0.3">
      <c r="C82" s="11"/>
      <c r="D82" s="11"/>
      <c r="E82" s="11"/>
      <c r="F82" s="11"/>
      <c r="G82" s="11">
        <f>(K62-L62)*100</f>
        <v>3.3999804122985977</v>
      </c>
      <c r="H82" s="11"/>
      <c r="Q82" s="15"/>
      <c r="R82" s="15">
        <v>10</v>
      </c>
      <c r="S82" s="15">
        <v>0.47040253543434318</v>
      </c>
      <c r="T82" s="15">
        <f>(S82+S83)/2*(R83-R82)</f>
        <v>6.8915735078787863</v>
      </c>
      <c r="U82" s="15"/>
    </row>
    <row r="83" spans="2:21" x14ac:dyDescent="0.3">
      <c r="Q83" s="15"/>
      <c r="R83" s="15">
        <v>25</v>
      </c>
      <c r="S83" s="15">
        <v>0.44847393228282834</v>
      </c>
      <c r="T83" s="15">
        <f>(S83+S84)/2*(R84-R83)</f>
        <v>10.938803199999999</v>
      </c>
      <c r="U83" s="15"/>
    </row>
    <row r="84" spans="2:21" x14ac:dyDescent="0.3">
      <c r="Q84" s="15"/>
      <c r="R84" s="15">
        <v>50</v>
      </c>
      <c r="S84" s="15">
        <v>0.42663032371717158</v>
      </c>
      <c r="T84" s="15">
        <f>(S84+S85)/2*(R85-R84)</f>
        <v>20.34239169292929</v>
      </c>
      <c r="U84" s="15"/>
    </row>
    <row r="85" spans="2:21" x14ac:dyDescent="0.3">
      <c r="C85" t="s">
        <v>13</v>
      </c>
      <c r="D85" t="s">
        <v>14</v>
      </c>
      <c r="E85" s="4" t="s">
        <v>36</v>
      </c>
      <c r="F85" s="4" t="s">
        <v>26</v>
      </c>
      <c r="G85" s="4" t="s">
        <v>37</v>
      </c>
      <c r="H85" t="s">
        <v>38</v>
      </c>
      <c r="Q85" s="15"/>
      <c r="R85" s="15">
        <v>100</v>
      </c>
      <c r="S85" s="15">
        <v>0.38706534399999998</v>
      </c>
      <c r="T85" s="15"/>
      <c r="U85" s="15"/>
    </row>
    <row r="86" spans="2:21" x14ac:dyDescent="0.3">
      <c r="C86" s="5">
        <v>0.12</v>
      </c>
      <c r="D86" s="5">
        <v>2.5</v>
      </c>
      <c r="E86" t="s">
        <v>19</v>
      </c>
      <c r="F86" t="s">
        <v>28</v>
      </c>
      <c r="G86" s="17">
        <f>((K62-L62)/K62)*100</f>
        <v>5.7060437627524063</v>
      </c>
      <c r="H86" s="17">
        <f>((K63-L63)/K63)*100</f>
        <v>4.8969696969696859</v>
      </c>
      <c r="Q86" s="9" t="s">
        <v>31</v>
      </c>
      <c r="R86" s="15"/>
      <c r="S86" s="15"/>
      <c r="T86" s="15">
        <f>SUM(T80:T85)</f>
        <v>43.094911111111102</v>
      </c>
      <c r="U86" s="15"/>
    </row>
    <row r="87" spans="2:21" x14ac:dyDescent="0.3">
      <c r="C87" s="5">
        <v>0.03</v>
      </c>
      <c r="D87" s="5">
        <v>10</v>
      </c>
      <c r="E87" t="s">
        <v>20</v>
      </c>
      <c r="F87" t="s">
        <v>28</v>
      </c>
      <c r="G87" s="17">
        <f>((L62-M62)/K62)*100</f>
        <v>2.0263139379441117</v>
      </c>
      <c r="H87" s="17">
        <f>((L63-M63)/K63)*100</f>
        <v>5.6565656565657036</v>
      </c>
      <c r="Q87" s="15"/>
      <c r="R87" s="15"/>
      <c r="S87" s="15"/>
      <c r="T87" s="15"/>
      <c r="U87" s="15"/>
    </row>
    <row r="88" spans="2:21" x14ac:dyDescent="0.3">
      <c r="B88" s="2">
        <v>2015</v>
      </c>
      <c r="C88" s="5">
        <v>1.2E-2</v>
      </c>
      <c r="D88" s="5">
        <v>25</v>
      </c>
      <c r="E88" t="s">
        <v>21</v>
      </c>
      <c r="F88" t="s">
        <v>28</v>
      </c>
      <c r="G88" s="17">
        <f>((M62-N62)/K62)*100</f>
        <v>12.643354675297289</v>
      </c>
      <c r="H88" s="17">
        <f>((M63-N63)/K63)*100</f>
        <v>4.1696969696969122</v>
      </c>
      <c r="Q88" s="14" t="s">
        <v>46</v>
      </c>
      <c r="R88" s="14"/>
      <c r="S88" s="15"/>
      <c r="T88" s="15"/>
      <c r="U88" s="15"/>
    </row>
    <row r="89" spans="2:21" x14ac:dyDescent="0.3">
      <c r="C89" s="5">
        <v>6.0000000000000001E-3</v>
      </c>
      <c r="D89" s="5">
        <v>50</v>
      </c>
      <c r="E89" t="s">
        <v>22</v>
      </c>
      <c r="F89" t="s">
        <v>28</v>
      </c>
      <c r="G89" s="17">
        <f>((N62-O62)/K62)*100</f>
        <v>12.024203194258796</v>
      </c>
      <c r="H89" s="17">
        <f>((N63-O63)/K63)*100</f>
        <v>4.1535353535353901</v>
      </c>
      <c r="Q89" s="14" t="s">
        <v>47</v>
      </c>
      <c r="R89" s="14"/>
      <c r="S89" s="15"/>
      <c r="T89" s="15"/>
      <c r="U89" s="15"/>
    </row>
    <row r="90" spans="2:21" x14ac:dyDescent="0.3">
      <c r="C90" s="5">
        <v>3.0000000000000001E-3</v>
      </c>
      <c r="D90" s="5">
        <v>100</v>
      </c>
      <c r="E90" t="s">
        <v>23</v>
      </c>
      <c r="F90" t="s">
        <v>30</v>
      </c>
      <c r="G90" s="17">
        <f>((O62-P62)/K62)*100</f>
        <v>9.7586716386406938</v>
      </c>
      <c r="H90" s="17">
        <f>((O63-P63)/K63)*100</f>
        <v>7.5232323232323024</v>
      </c>
    </row>
    <row r="91" spans="2:21" x14ac:dyDescent="0.3">
      <c r="C91" s="5">
        <v>1.5E-3</v>
      </c>
      <c r="D91" s="5">
        <v>200</v>
      </c>
      <c r="E91" t="s">
        <v>24</v>
      </c>
      <c r="F91" t="s">
        <v>30</v>
      </c>
      <c r="G91" s="17">
        <f>((P62-Q62)/K62)*100</f>
        <v>7.9997185675086113</v>
      </c>
      <c r="H91" s="17">
        <f>((P63-Q63)/K63)*100</f>
        <v>9.7696969696969926</v>
      </c>
    </row>
    <row r="92" spans="2:21" x14ac:dyDescent="0.3">
      <c r="C92" s="5">
        <v>5.9999999999999995E-4</v>
      </c>
      <c r="D92" s="5">
        <v>500</v>
      </c>
      <c r="E92" t="s">
        <v>25</v>
      </c>
      <c r="F92" t="s">
        <v>30</v>
      </c>
      <c r="G92" s="17">
        <f>((Q62-R62)/K62)*100</f>
        <v>6.4940547386195053</v>
      </c>
      <c r="H92" s="17">
        <f>((Q63-R63)/K63)*100</f>
        <v>8.4363636363636108</v>
      </c>
    </row>
    <row r="94" spans="2:21" x14ac:dyDescent="0.3">
      <c r="F94" s="18" t="s">
        <v>31</v>
      </c>
      <c r="G94">
        <f>SUM(G86:G92)</f>
        <v>56.652360515021407</v>
      </c>
      <c r="H94">
        <f>SUM(H86:H92)</f>
        <v>44.606060606060595</v>
      </c>
    </row>
    <row r="96" spans="2:21" x14ac:dyDescent="0.3">
      <c r="F96" t="s">
        <v>28</v>
      </c>
      <c r="G96">
        <f>SUM(G86:G89)</f>
        <v>32.399915570252602</v>
      </c>
      <c r="H96">
        <f>SUM(H86:H89)</f>
        <v>18.876767676767692</v>
      </c>
    </row>
    <row r="97" spans="5:8" x14ac:dyDescent="0.3">
      <c r="F97" t="s">
        <v>30</v>
      </c>
      <c r="G97">
        <f>SUM(G90:G92)</f>
        <v>24.252444944768811</v>
      </c>
      <c r="H97">
        <f>SUM(H90:H92)</f>
        <v>25.729292929292903</v>
      </c>
    </row>
    <row r="99" spans="5:8" x14ac:dyDescent="0.3">
      <c r="F99" t="s">
        <v>28</v>
      </c>
      <c r="G99">
        <f>G96/G94</f>
        <v>0.571907600596126</v>
      </c>
      <c r="H99">
        <f>H96/H94</f>
        <v>0.42318840579710187</v>
      </c>
    </row>
    <row r="100" spans="5:8" x14ac:dyDescent="0.3">
      <c r="F100" t="s">
        <v>30</v>
      </c>
      <c r="G100">
        <f>G97/G94</f>
        <v>0.42809239940387411</v>
      </c>
      <c r="H100">
        <f>H97/H94</f>
        <v>0.57681159420289807</v>
      </c>
    </row>
    <row r="103" spans="5:8" x14ac:dyDescent="0.3">
      <c r="E103" t="s">
        <v>48</v>
      </c>
      <c r="F103" t="s">
        <v>28</v>
      </c>
      <c r="G103">
        <v>0.571907600596126</v>
      </c>
    </row>
    <row r="104" spans="5:8" x14ac:dyDescent="0.3">
      <c r="F104" t="s">
        <v>30</v>
      </c>
      <c r="G104">
        <v>0.42809239940387411</v>
      </c>
    </row>
    <row r="105" spans="5:8" x14ac:dyDescent="0.3">
      <c r="E105" t="s">
        <v>49</v>
      </c>
      <c r="F105" t="s">
        <v>28</v>
      </c>
      <c r="G105">
        <v>0.42318840579710187</v>
      </c>
    </row>
    <row r="106" spans="5:8" x14ac:dyDescent="0.3">
      <c r="F106" t="s">
        <v>30</v>
      </c>
      <c r="G106">
        <v>0.57681159420289807</v>
      </c>
    </row>
    <row r="108" spans="5:8" x14ac:dyDescent="0.3">
      <c r="E108" t="s">
        <v>48</v>
      </c>
      <c r="F108" t="s">
        <v>28</v>
      </c>
      <c r="G108">
        <f>0.571907600596126*100</f>
        <v>57.1907600596126</v>
      </c>
    </row>
    <row r="109" spans="5:8" x14ac:dyDescent="0.3">
      <c r="F109" t="s">
        <v>30</v>
      </c>
      <c r="G109">
        <f>0.428092399403874*100</f>
        <v>42.8092399403874</v>
      </c>
    </row>
    <row r="110" spans="5:8" x14ac:dyDescent="0.3">
      <c r="E110" t="s">
        <v>49</v>
      </c>
      <c r="F110" t="s">
        <v>28</v>
      </c>
      <c r="G110">
        <f>0.423188405797102*100</f>
        <v>42.318840579710198</v>
      </c>
    </row>
    <row r="111" spans="5:8" x14ac:dyDescent="0.3">
      <c r="F111" t="s">
        <v>30</v>
      </c>
      <c r="G111">
        <f>0.576811594202898*100</f>
        <v>57.681159420289795</v>
      </c>
    </row>
    <row r="123" spans="2:18" x14ac:dyDescent="0.3">
      <c r="C123" t="s">
        <v>13</v>
      </c>
      <c r="D123" t="s">
        <v>14</v>
      </c>
      <c r="E123" t="s">
        <v>36</v>
      </c>
      <c r="F123" t="s">
        <v>26</v>
      </c>
      <c r="G123" t="s">
        <v>37</v>
      </c>
      <c r="H123" t="s">
        <v>38</v>
      </c>
    </row>
    <row r="124" spans="2:18" x14ac:dyDescent="0.3">
      <c r="C124">
        <v>0.12</v>
      </c>
      <c r="D124">
        <v>2.5</v>
      </c>
      <c r="E124" t="s">
        <v>19</v>
      </c>
      <c r="F124" t="s">
        <v>28</v>
      </c>
      <c r="G124">
        <f>((K127-L127)/K127)*100</f>
        <v>3.0268307444018907</v>
      </c>
      <c r="H124">
        <f>((K128-L128)/K128)*100</f>
        <v>4.1910488937743278</v>
      </c>
    </row>
    <row r="125" spans="2:18" x14ac:dyDescent="0.3">
      <c r="C125">
        <v>0.03</v>
      </c>
      <c r="D125">
        <v>10</v>
      </c>
      <c r="E125" t="s">
        <v>20</v>
      </c>
      <c r="F125" t="s">
        <v>28</v>
      </c>
      <c r="G125">
        <f>((L127-M127)/K127)*100</f>
        <v>14.144038733104678</v>
      </c>
      <c r="H125">
        <f>((L128-M128)/K128)*100</f>
        <v>10.224909206513411</v>
      </c>
    </row>
    <row r="126" spans="2:18" x14ac:dyDescent="0.3">
      <c r="B126">
        <v>2016</v>
      </c>
      <c r="C126">
        <v>1.2E-2</v>
      </c>
      <c r="D126">
        <v>25</v>
      </c>
      <c r="E126" t="s">
        <v>21</v>
      </c>
      <c r="F126" t="s">
        <v>28</v>
      </c>
      <c r="G126">
        <f>((M127-N127)/K127)*100</f>
        <v>14.775872503530366</v>
      </c>
      <c r="H126">
        <f>((M128-N128)/K128)*100</f>
        <v>14.919228821139544</v>
      </c>
      <c r="K126">
        <v>0</v>
      </c>
      <c r="L126">
        <v>2.5</v>
      </c>
      <c r="M126">
        <v>10</v>
      </c>
      <c r="N126">
        <v>25</v>
      </c>
      <c r="O126">
        <v>50</v>
      </c>
      <c r="P126">
        <v>100</v>
      </c>
      <c r="Q126">
        <v>200</v>
      </c>
      <c r="R126">
        <v>500</v>
      </c>
    </row>
    <row r="127" spans="2:18" x14ac:dyDescent="0.3">
      <c r="C127">
        <v>6.0000000000000001E-3</v>
      </c>
      <c r="D127">
        <v>50</v>
      </c>
      <c r="E127" t="s">
        <v>22</v>
      </c>
      <c r="F127" t="s">
        <v>28</v>
      </c>
      <c r="G127">
        <f>((N127-O127)/K127)*100</f>
        <v>8.6350615291506934</v>
      </c>
      <c r="H127">
        <f>((N128-O128)/K128)*100</f>
        <v>11.815546431304066</v>
      </c>
      <c r="I127">
        <v>2016</v>
      </c>
      <c r="J127" t="s">
        <v>39</v>
      </c>
      <c r="K127">
        <v>0.55077777777777781</v>
      </c>
      <c r="L127">
        <v>0.53410666666666651</v>
      </c>
      <c r="M127">
        <v>0.45620444444444441</v>
      </c>
      <c r="N127">
        <v>0.37482222222222217</v>
      </c>
      <c r="O127">
        <v>0.32726222222222218</v>
      </c>
      <c r="P127">
        <v>0.2892622222222222</v>
      </c>
      <c r="Q127">
        <v>0.23896888888888887</v>
      </c>
      <c r="R127">
        <v>0.21341777777777771</v>
      </c>
    </row>
    <row r="128" spans="2:18" x14ac:dyDescent="0.3">
      <c r="C128">
        <v>3.0000000000000001E-3</v>
      </c>
      <c r="D128">
        <v>100</v>
      </c>
      <c r="E128" t="s">
        <v>23</v>
      </c>
      <c r="F128" t="s">
        <v>30</v>
      </c>
      <c r="G128">
        <f>((O127-P127)/K127)*100</f>
        <v>6.8993342747629569</v>
      </c>
      <c r="H128">
        <f>((O128-P128)/K128)*100</f>
        <v>9.4856293039345658</v>
      </c>
      <c r="J128" t="s">
        <v>40</v>
      </c>
      <c r="K128">
        <v>0.53024571428571432</v>
      </c>
      <c r="L128">
        <v>0.50802285714285711</v>
      </c>
      <c r="M128">
        <v>0.45380571428571431</v>
      </c>
      <c r="N128">
        <v>0.37469714285714278</v>
      </c>
      <c r="O128">
        <v>0.31204571428571432</v>
      </c>
      <c r="P128">
        <v>0.26174857142857144</v>
      </c>
      <c r="Q128">
        <v>0.22137714285714288</v>
      </c>
      <c r="R128">
        <v>0.18561142857142857</v>
      </c>
    </row>
    <row r="129" spans="3:24" x14ac:dyDescent="0.3">
      <c r="C129">
        <v>1.5E-3</v>
      </c>
      <c r="D129">
        <v>200</v>
      </c>
      <c r="E129" t="s">
        <v>24</v>
      </c>
      <c r="F129" t="s">
        <v>30</v>
      </c>
      <c r="G129">
        <f>((P127-Q127)/K127)*100</f>
        <v>9.131329433124872</v>
      </c>
      <c r="H129">
        <f>((P128-Q128)/K128)*100</f>
        <v>7.613720862565061</v>
      </c>
    </row>
    <row r="130" spans="3:24" x14ac:dyDescent="0.3">
      <c r="C130">
        <v>5.9999999999999995E-4</v>
      </c>
      <c r="D130">
        <v>500</v>
      </c>
      <c r="E130" t="s">
        <v>25</v>
      </c>
      <c r="F130" t="s">
        <v>30</v>
      </c>
      <c r="G130">
        <f>((Q127-R127)/K127)*100</f>
        <v>4.6390962275569994</v>
      </c>
      <c r="H130">
        <f>((Q128-R128)/K128)*100</f>
        <v>6.7451208604097337</v>
      </c>
    </row>
    <row r="132" spans="3:24" x14ac:dyDescent="0.3">
      <c r="F132" t="s">
        <v>31</v>
      </c>
      <c r="G132">
        <f>SUM(G124:G130)</f>
        <v>61.251563445632449</v>
      </c>
      <c r="H132">
        <f>SUM(H124:H130)</f>
        <v>64.995204379640711</v>
      </c>
    </row>
    <row r="134" spans="3:24" x14ac:dyDescent="0.3">
      <c r="F134" t="s">
        <v>28</v>
      </c>
      <c r="G134">
        <f>SUM(G124:G127)</f>
        <v>40.581803510187626</v>
      </c>
      <c r="H134">
        <f>SUM(H124:H127)</f>
        <v>41.150733352731351</v>
      </c>
    </row>
    <row r="135" spans="3:24" x14ac:dyDescent="0.3">
      <c r="F135" t="s">
        <v>30</v>
      </c>
      <c r="G135">
        <f>SUM(G128:G130)</f>
        <v>20.66975993544483</v>
      </c>
      <c r="H135">
        <f>SUM(H128:H130)</f>
        <v>23.84447102690936</v>
      </c>
    </row>
    <row r="136" spans="3:24" x14ac:dyDescent="0.3">
      <c r="J136" t="s">
        <v>50</v>
      </c>
      <c r="L136">
        <v>2015</v>
      </c>
      <c r="M136" t="s">
        <v>48</v>
      </c>
      <c r="N136" t="s">
        <v>28</v>
      </c>
      <c r="O136">
        <v>57.1907600596126</v>
      </c>
      <c r="Q136" t="s">
        <v>48</v>
      </c>
      <c r="R136" t="s">
        <v>28</v>
      </c>
      <c r="S136">
        <v>57.1907600596126</v>
      </c>
      <c r="U136">
        <v>2015</v>
      </c>
      <c r="V136" t="s">
        <v>48</v>
      </c>
      <c r="W136" t="s">
        <v>28</v>
      </c>
      <c r="X136">
        <v>57.1907600596126</v>
      </c>
    </row>
    <row r="137" spans="3:24" x14ac:dyDescent="0.3">
      <c r="F137" t="s">
        <v>28</v>
      </c>
      <c r="G137">
        <f>G134/G132</f>
        <v>0.66254314546939641</v>
      </c>
      <c r="H137">
        <f>H134/H132</f>
        <v>0.63313491734509453</v>
      </c>
      <c r="N137" t="s">
        <v>30</v>
      </c>
      <c r="O137">
        <v>42.8092399403874</v>
      </c>
      <c r="S137">
        <v>66.254314546939597</v>
      </c>
      <c r="W137" t="s">
        <v>30</v>
      </c>
      <c r="X137">
        <v>42.8092399403874</v>
      </c>
    </row>
    <row r="138" spans="3:24" x14ac:dyDescent="0.3">
      <c r="F138" t="s">
        <v>30</v>
      </c>
      <c r="G138">
        <f>G135/G132</f>
        <v>0.33745685453060364</v>
      </c>
      <c r="H138">
        <f>H135/H132</f>
        <v>0.36686508265490542</v>
      </c>
      <c r="M138" t="s">
        <v>49</v>
      </c>
      <c r="N138" t="s">
        <v>28</v>
      </c>
      <c r="O138">
        <v>42.318840579710198</v>
      </c>
      <c r="R138" t="s">
        <v>30</v>
      </c>
      <c r="S138">
        <v>42.8092399403874</v>
      </c>
      <c r="V138" t="s">
        <v>49</v>
      </c>
      <c r="W138" t="s">
        <v>28</v>
      </c>
      <c r="X138">
        <v>42.318840579710198</v>
      </c>
    </row>
    <row r="139" spans="3:24" x14ac:dyDescent="0.3">
      <c r="N139" t="s">
        <v>30</v>
      </c>
      <c r="O139">
        <v>57.681159420289795</v>
      </c>
      <c r="S139">
        <v>33.745685453060396</v>
      </c>
      <c r="W139" t="s">
        <v>30</v>
      </c>
      <c r="X139">
        <v>57.681159420289795</v>
      </c>
    </row>
    <row r="140" spans="3:24" x14ac:dyDescent="0.3">
      <c r="L140">
        <v>2016</v>
      </c>
      <c r="M140" t="s">
        <v>48</v>
      </c>
      <c r="N140" t="s">
        <v>28</v>
      </c>
      <c r="O140">
        <v>66.254314546939597</v>
      </c>
      <c r="Q140" t="s">
        <v>49</v>
      </c>
      <c r="R140" t="s">
        <v>28</v>
      </c>
      <c r="S140">
        <v>42.318840579710198</v>
      </c>
      <c r="U140">
        <v>2016</v>
      </c>
      <c r="V140" t="s">
        <v>48</v>
      </c>
      <c r="W140" t="s">
        <v>28</v>
      </c>
      <c r="X140">
        <v>66.254314546939597</v>
      </c>
    </row>
    <row r="141" spans="3:24" x14ac:dyDescent="0.3">
      <c r="E141" t="s">
        <v>48</v>
      </c>
      <c r="F141" t="s">
        <v>28</v>
      </c>
      <c r="G141">
        <v>0.66254314546939641</v>
      </c>
      <c r="N141" t="s">
        <v>30</v>
      </c>
      <c r="O141">
        <v>33.745685453060396</v>
      </c>
      <c r="S141">
        <v>63.313491734509498</v>
      </c>
      <c r="W141" t="s">
        <v>30</v>
      </c>
      <c r="X141">
        <v>33.745685453060396</v>
      </c>
    </row>
    <row r="142" spans="3:24" x14ac:dyDescent="0.3">
      <c r="F142" t="s">
        <v>30</v>
      </c>
      <c r="G142">
        <v>0.33745685453060364</v>
      </c>
      <c r="M142" t="s">
        <v>49</v>
      </c>
      <c r="N142" t="s">
        <v>28</v>
      </c>
      <c r="O142">
        <v>63.313491734509498</v>
      </c>
      <c r="R142" t="s">
        <v>30</v>
      </c>
      <c r="S142">
        <v>36.686508265490495</v>
      </c>
      <c r="V142" t="s">
        <v>49</v>
      </c>
      <c r="W142" t="s">
        <v>28</v>
      </c>
      <c r="X142">
        <v>63.313491734509498</v>
      </c>
    </row>
    <row r="143" spans="3:24" x14ac:dyDescent="0.3">
      <c r="E143" t="s">
        <v>49</v>
      </c>
      <c r="F143" t="s">
        <v>28</v>
      </c>
      <c r="G143">
        <v>0.63313491734509453</v>
      </c>
      <c r="N143" t="s">
        <v>30</v>
      </c>
      <c r="O143">
        <v>36.686508265490495</v>
      </c>
      <c r="S143">
        <v>57.681159420289795</v>
      </c>
      <c r="W143" t="s">
        <v>30</v>
      </c>
      <c r="X143">
        <v>36.686508265490495</v>
      </c>
    </row>
    <row r="144" spans="3:24" x14ac:dyDescent="0.3">
      <c r="F144" t="s">
        <v>30</v>
      </c>
      <c r="G144">
        <v>0.36686508265490542</v>
      </c>
    </row>
    <row r="146" spans="2:18" x14ac:dyDescent="0.3">
      <c r="E146" t="s">
        <v>48</v>
      </c>
      <c r="F146" t="s">
        <v>28</v>
      </c>
      <c r="G146">
        <f>0.662543145469396*100</f>
        <v>66.254314546939597</v>
      </c>
    </row>
    <row r="147" spans="2:18" x14ac:dyDescent="0.3">
      <c r="F147" t="s">
        <v>30</v>
      </c>
      <c r="G147">
        <f>0.337456854530604*100</f>
        <v>33.745685453060396</v>
      </c>
    </row>
    <row r="148" spans="2:18" x14ac:dyDescent="0.3">
      <c r="E148" t="s">
        <v>49</v>
      </c>
      <c r="F148" t="s">
        <v>28</v>
      </c>
      <c r="G148">
        <f>0.633134917345095*100</f>
        <v>63.313491734509498</v>
      </c>
    </row>
    <row r="149" spans="2:18" x14ac:dyDescent="0.3">
      <c r="F149" t="s">
        <v>30</v>
      </c>
      <c r="G149">
        <f>0.366865082654905*100</f>
        <v>36.686508265490495</v>
      </c>
    </row>
    <row r="154" spans="2:18" x14ac:dyDescent="0.3">
      <c r="J154" s="4">
        <v>2017</v>
      </c>
    </row>
    <row r="155" spans="2:18" x14ac:dyDescent="0.3">
      <c r="C155" t="s">
        <v>13</v>
      </c>
      <c r="D155" t="s">
        <v>14</v>
      </c>
      <c r="E155" t="s">
        <v>36</v>
      </c>
      <c r="F155" t="s">
        <v>26</v>
      </c>
      <c r="G155" t="s">
        <v>37</v>
      </c>
      <c r="H155" t="s">
        <v>38</v>
      </c>
      <c r="K155">
        <v>0</v>
      </c>
      <c r="L155">
        <v>2.5</v>
      </c>
      <c r="M155">
        <v>10</v>
      </c>
      <c r="N155">
        <v>25</v>
      </c>
      <c r="O155">
        <v>50</v>
      </c>
      <c r="P155">
        <v>100</v>
      </c>
      <c r="Q155">
        <v>200</v>
      </c>
      <c r="R155">
        <v>500</v>
      </c>
    </row>
    <row r="156" spans="2:18" x14ac:dyDescent="0.3">
      <c r="C156">
        <v>0.12</v>
      </c>
      <c r="D156">
        <v>2.5</v>
      </c>
      <c r="E156" t="s">
        <v>19</v>
      </c>
      <c r="F156" t="s">
        <v>28</v>
      </c>
      <c r="G156">
        <f>(K156-L156)/K156</f>
        <v>6.507376646699202E-2</v>
      </c>
      <c r="H156">
        <f>(K157-L157)/K157</f>
        <v>5.4125045896608007E-2</v>
      </c>
      <c r="J156" t="s">
        <v>39</v>
      </c>
      <c r="K156">
        <v>0.6127746666666668</v>
      </c>
      <c r="L156">
        <v>0.57289911111111125</v>
      </c>
      <c r="M156">
        <v>0.53320133333333342</v>
      </c>
      <c r="N156">
        <v>0.46041911111111122</v>
      </c>
      <c r="O156">
        <v>0.40711688888888886</v>
      </c>
      <c r="P156">
        <v>0.37403688888888886</v>
      </c>
      <c r="Q156">
        <v>0.33760133333333342</v>
      </c>
      <c r="R156">
        <v>0.31070800000000004</v>
      </c>
    </row>
    <row r="157" spans="2:18" x14ac:dyDescent="0.3">
      <c r="C157">
        <v>0.03</v>
      </c>
      <c r="D157">
        <v>10</v>
      </c>
      <c r="E157" t="s">
        <v>20</v>
      </c>
      <c r="F157" t="s">
        <v>28</v>
      </c>
      <c r="G157">
        <f>(L156-M156)/K156</f>
        <v>6.4783647133657321E-2</v>
      </c>
      <c r="H157">
        <f>(L157-M157)/K157</f>
        <v>6.2457045482361542E-2</v>
      </c>
      <c r="J157" t="s">
        <v>40</v>
      </c>
      <c r="K157">
        <v>0.60695428571428567</v>
      </c>
      <c r="L157">
        <v>0.57410285714285703</v>
      </c>
      <c r="M157">
        <v>0.53619428571428562</v>
      </c>
      <c r="N157">
        <v>0.48865714285714285</v>
      </c>
      <c r="O157">
        <v>0.44013142857142845</v>
      </c>
      <c r="P157">
        <v>0.39915999999999985</v>
      </c>
      <c r="Q157">
        <v>0.34444571428571413</v>
      </c>
      <c r="R157">
        <v>0.30807999999999991</v>
      </c>
    </row>
    <row r="158" spans="2:18" x14ac:dyDescent="0.3">
      <c r="B158">
        <v>2017</v>
      </c>
      <c r="C158">
        <v>1.2E-2</v>
      </c>
      <c r="D158">
        <v>25</v>
      </c>
      <c r="E158" t="s">
        <v>21</v>
      </c>
      <c r="F158" t="s">
        <v>28</v>
      </c>
      <c r="G158">
        <f>(M156-N156)/K156</f>
        <v>0.11877485506726046</v>
      </c>
      <c r="H158">
        <f>(M157-N157)/K157</f>
        <v>7.8320796106084584E-2</v>
      </c>
    </row>
    <row r="159" spans="2:18" x14ac:dyDescent="0.3">
      <c r="C159">
        <v>6.0000000000000001E-3</v>
      </c>
      <c r="D159">
        <v>50</v>
      </c>
      <c r="E159" t="s">
        <v>22</v>
      </c>
      <c r="F159" t="s">
        <v>28</v>
      </c>
      <c r="G159">
        <f>(N156-O156)/K156</f>
        <v>8.6985029117101806E-2</v>
      </c>
      <c r="H159">
        <f>(N157-O157)/K157</f>
        <v>7.9949537268045795E-2</v>
      </c>
    </row>
    <row r="160" spans="2:18" x14ac:dyDescent="0.3">
      <c r="C160">
        <v>3.0000000000000001E-3</v>
      </c>
      <c r="D160">
        <v>100</v>
      </c>
      <c r="E160" t="s">
        <v>23</v>
      </c>
      <c r="F160" t="s">
        <v>30</v>
      </c>
      <c r="G160">
        <f>(O156-P156)/K156</f>
        <v>5.3983954950269905E-2</v>
      </c>
      <c r="H160">
        <f>(O157-P157)/K157</f>
        <v>6.7503318677801169E-2</v>
      </c>
    </row>
    <row r="161" spans="3:19" x14ac:dyDescent="0.3">
      <c r="C161">
        <v>1.5E-3</v>
      </c>
      <c r="D161">
        <v>200</v>
      </c>
      <c r="E161" t="s">
        <v>24</v>
      </c>
      <c r="F161" t="s">
        <v>30</v>
      </c>
      <c r="G161">
        <f>(P156-Q156)/K156</f>
        <v>5.9459957366963773E-2</v>
      </c>
      <c r="H161">
        <f>(P157-Q157)/K157</f>
        <v>9.0145645235696736E-2</v>
      </c>
    </row>
    <row r="162" spans="3:19" x14ac:dyDescent="0.3">
      <c r="C162">
        <v>5.9999999999999995E-4</v>
      </c>
      <c r="D162">
        <v>500</v>
      </c>
      <c r="E162" t="s">
        <v>25</v>
      </c>
      <c r="F162" t="s">
        <v>30</v>
      </c>
      <c r="G162">
        <f>(Q156-R156)/K156</f>
        <v>4.3887802150219507E-2</v>
      </c>
      <c r="H162">
        <f>(Q157-R157)/K157</f>
        <v>5.9915079507046796E-2</v>
      </c>
    </row>
    <row r="164" spans="3:19" x14ac:dyDescent="0.3">
      <c r="F164" t="s">
        <v>31</v>
      </c>
      <c r="G164">
        <f>SUM(G156:G162)</f>
        <v>0.49294901225246479</v>
      </c>
      <c r="H164">
        <f>SUM(H156:H162)</f>
        <v>0.49241646817364459</v>
      </c>
    </row>
    <row r="166" spans="3:19" x14ac:dyDescent="0.3">
      <c r="F166" t="s">
        <v>28</v>
      </c>
      <c r="G166">
        <f>SUM(G156:G159)</f>
        <v>0.33561729778501159</v>
      </c>
      <c r="H166">
        <f>SUM(H156:H159)</f>
        <v>0.2748524247530999</v>
      </c>
    </row>
    <row r="167" spans="3:19" x14ac:dyDescent="0.3">
      <c r="F167" t="s">
        <v>30</v>
      </c>
      <c r="G167">
        <f>SUM(G160:G162)</f>
        <v>0.1573317144674532</v>
      </c>
      <c r="H167">
        <f>SUM(H160:H162)</f>
        <v>0.21756404342054472</v>
      </c>
    </row>
    <row r="169" spans="3:19" x14ac:dyDescent="0.3">
      <c r="F169" t="s">
        <v>28</v>
      </c>
      <c r="G169">
        <f>G166/G164</f>
        <v>0.68083572426984507</v>
      </c>
      <c r="H169">
        <f>H166/H164</f>
        <v>0.55817065942680166</v>
      </c>
    </row>
    <row r="170" spans="3:19" x14ac:dyDescent="0.3">
      <c r="F170" t="s">
        <v>30</v>
      </c>
      <c r="G170">
        <f>G167/G164</f>
        <v>0.31916427573015493</v>
      </c>
      <c r="H170">
        <f>H167/H164</f>
        <v>0.44182934057319839</v>
      </c>
    </row>
    <row r="173" spans="3:19" x14ac:dyDescent="0.3">
      <c r="E173" t="s">
        <v>48</v>
      </c>
      <c r="F173" t="s">
        <v>28</v>
      </c>
      <c r="G173">
        <f>0.680835724269845*100</f>
        <v>68.083572426984489</v>
      </c>
      <c r="J173" t="s">
        <v>51</v>
      </c>
      <c r="L173">
        <v>2015</v>
      </c>
      <c r="M173" t="s">
        <v>48</v>
      </c>
      <c r="N173" t="s">
        <v>28</v>
      </c>
      <c r="O173">
        <v>57.1907600596126</v>
      </c>
      <c r="Q173" s="1" t="s">
        <v>48</v>
      </c>
      <c r="R173" t="s">
        <v>28</v>
      </c>
      <c r="S173">
        <v>57.1907600596126</v>
      </c>
    </row>
    <row r="174" spans="3:19" x14ac:dyDescent="0.3">
      <c r="F174" t="s">
        <v>30</v>
      </c>
      <c r="G174">
        <f>0.319164275730155*100</f>
        <v>31.9164275730155</v>
      </c>
      <c r="N174" t="s">
        <v>30</v>
      </c>
      <c r="O174">
        <v>42.8092399403874</v>
      </c>
      <c r="S174">
        <v>68.083572426984489</v>
      </c>
    </row>
    <row r="175" spans="3:19" x14ac:dyDescent="0.3">
      <c r="E175" t="s">
        <v>49</v>
      </c>
      <c r="F175" t="s">
        <v>28</v>
      </c>
      <c r="G175">
        <f>0.558170659426802*100</f>
        <v>55.817065942680202</v>
      </c>
      <c r="M175" t="s">
        <v>49</v>
      </c>
      <c r="N175" t="s">
        <v>28</v>
      </c>
      <c r="O175">
        <v>42.318840579710198</v>
      </c>
      <c r="S175">
        <v>66.254314546939597</v>
      </c>
    </row>
    <row r="176" spans="3:19" x14ac:dyDescent="0.3">
      <c r="F176" t="s">
        <v>30</v>
      </c>
      <c r="G176">
        <f>0.441829340573198*100</f>
        <v>44.182934057319798</v>
      </c>
      <c r="N176" t="s">
        <v>30</v>
      </c>
      <c r="O176">
        <v>57.681159420289795</v>
      </c>
      <c r="S176">
        <v>42.8092399403874</v>
      </c>
    </row>
    <row r="177" spans="2:19" x14ac:dyDescent="0.3">
      <c r="L177">
        <v>2016</v>
      </c>
      <c r="M177" t="s">
        <v>48</v>
      </c>
      <c r="N177" t="s">
        <v>28</v>
      </c>
      <c r="O177">
        <v>66.254314546939597</v>
      </c>
      <c r="S177">
        <v>33.745685453060396</v>
      </c>
    </row>
    <row r="178" spans="2:19" x14ac:dyDescent="0.3">
      <c r="N178" t="s">
        <v>30</v>
      </c>
      <c r="O178">
        <v>33.745685453060396</v>
      </c>
      <c r="R178" t="s">
        <v>30</v>
      </c>
      <c r="S178">
        <v>31.9164275730155</v>
      </c>
    </row>
    <row r="179" spans="2:19" x14ac:dyDescent="0.3">
      <c r="M179" t="s">
        <v>49</v>
      </c>
      <c r="N179" t="s">
        <v>28</v>
      </c>
      <c r="O179">
        <v>63.313491734509498</v>
      </c>
      <c r="Q179" s="1" t="s">
        <v>49</v>
      </c>
      <c r="R179" t="s">
        <v>28</v>
      </c>
      <c r="S179">
        <v>42.318840579710198</v>
      </c>
    </row>
    <row r="180" spans="2:19" x14ac:dyDescent="0.3">
      <c r="N180" t="s">
        <v>30</v>
      </c>
      <c r="O180">
        <v>36.686508265490495</v>
      </c>
      <c r="S180">
        <v>63.313491734509498</v>
      </c>
    </row>
    <row r="181" spans="2:19" x14ac:dyDescent="0.3">
      <c r="L181">
        <v>2017</v>
      </c>
      <c r="M181" t="s">
        <v>48</v>
      </c>
      <c r="N181" t="s">
        <v>28</v>
      </c>
      <c r="O181">
        <v>68.083572426984489</v>
      </c>
      <c r="S181">
        <v>55.817065942680202</v>
      </c>
    </row>
    <row r="182" spans="2:19" x14ac:dyDescent="0.3">
      <c r="N182" t="s">
        <v>30</v>
      </c>
      <c r="O182">
        <v>31.9164275730155</v>
      </c>
      <c r="S182">
        <v>57.681159420289795</v>
      </c>
    </row>
    <row r="183" spans="2:19" x14ac:dyDescent="0.3">
      <c r="M183" t="s">
        <v>49</v>
      </c>
      <c r="N183" t="s">
        <v>28</v>
      </c>
      <c r="O183">
        <v>55.817065942680202</v>
      </c>
      <c r="S183">
        <v>44.182934057319798</v>
      </c>
    </row>
    <row r="184" spans="2:19" x14ac:dyDescent="0.3">
      <c r="N184" t="s">
        <v>30</v>
      </c>
      <c r="O184">
        <v>44.182934057319798</v>
      </c>
      <c r="R184" t="s">
        <v>30</v>
      </c>
      <c r="S184">
        <v>36.686508265490495</v>
      </c>
    </row>
    <row r="186" spans="2:19" x14ac:dyDescent="0.3">
      <c r="C186" t="s">
        <v>13</v>
      </c>
      <c r="D186" t="s">
        <v>14</v>
      </c>
      <c r="E186" t="s">
        <v>36</v>
      </c>
      <c r="F186" t="s">
        <v>26</v>
      </c>
      <c r="G186" t="s">
        <v>37</v>
      </c>
      <c r="H186" t="s">
        <v>38</v>
      </c>
    </row>
    <row r="187" spans="2:19" x14ac:dyDescent="0.3">
      <c r="C187">
        <v>0.12</v>
      </c>
      <c r="D187">
        <v>2.5</v>
      </c>
      <c r="E187" t="s">
        <v>19</v>
      </c>
      <c r="F187" t="s">
        <v>28</v>
      </c>
      <c r="G187">
        <f>(K189-L189)/K189</f>
        <v>4.3480552334773818E-2</v>
      </c>
      <c r="H187">
        <f>(K190-L190)/K190</f>
        <v>6.1387993835808632E-2</v>
      </c>
    </row>
    <row r="188" spans="2:19" x14ac:dyDescent="0.3">
      <c r="C188">
        <v>0.03</v>
      </c>
      <c r="D188">
        <v>10</v>
      </c>
      <c r="E188" t="s">
        <v>20</v>
      </c>
      <c r="F188" t="s">
        <v>28</v>
      </c>
      <c r="G188">
        <f>(L189-M189)/K189</f>
        <v>7.3084973422277058E-2</v>
      </c>
      <c r="H188">
        <f>(L190-M190)/K190</f>
        <v>6.8340221350518301E-2</v>
      </c>
      <c r="K188">
        <v>0</v>
      </c>
      <c r="L188">
        <v>2.5</v>
      </c>
      <c r="M188">
        <v>10</v>
      </c>
      <c r="N188">
        <v>25</v>
      </c>
      <c r="O188">
        <v>50</v>
      </c>
      <c r="P188">
        <v>100</v>
      </c>
      <c r="Q188">
        <v>200</v>
      </c>
      <c r="R188">
        <v>500</v>
      </c>
    </row>
    <row r="189" spans="2:19" x14ac:dyDescent="0.3">
      <c r="B189">
        <v>2018</v>
      </c>
      <c r="C189">
        <v>1.2E-2</v>
      </c>
      <c r="D189">
        <v>25</v>
      </c>
      <c r="E189" t="s">
        <v>21</v>
      </c>
      <c r="F189" t="s">
        <v>28</v>
      </c>
      <c r="G189">
        <f>(M189-N189)/K189</f>
        <v>0.12430544052763941</v>
      </c>
      <c r="H189">
        <f>(M190-N190)/K190</f>
        <v>7.5064794059960638E-2</v>
      </c>
      <c r="I189">
        <v>2018</v>
      </c>
      <c r="J189" t="s">
        <v>39</v>
      </c>
      <c r="K189">
        <v>0.59030222222222217</v>
      </c>
      <c r="L189">
        <v>0.56463555555555556</v>
      </c>
      <c r="M189">
        <v>0.52149333333333336</v>
      </c>
      <c r="N189">
        <v>0.44811555555555554</v>
      </c>
      <c r="O189">
        <v>0.39525777777777776</v>
      </c>
      <c r="P189">
        <v>0.36029777777777772</v>
      </c>
      <c r="Q189">
        <v>0.33338222222222219</v>
      </c>
      <c r="R189">
        <v>0.31721777777777777</v>
      </c>
    </row>
    <row r="190" spans="2:19" x14ac:dyDescent="0.3">
      <c r="C190">
        <v>6.0000000000000001E-3</v>
      </c>
      <c r="D190">
        <v>50</v>
      </c>
      <c r="E190" t="s">
        <v>22</v>
      </c>
      <c r="F190" t="s">
        <v>28</v>
      </c>
      <c r="G190">
        <f>(N189-O189)/K189</f>
        <v>8.9543585959734384E-2</v>
      </c>
      <c r="H190">
        <f>(N190-O190)/K190</f>
        <v>8.7025427290557539E-2</v>
      </c>
      <c r="J190" t="s">
        <v>40</v>
      </c>
      <c r="K190">
        <v>0.5710400000000001</v>
      </c>
      <c r="L190">
        <v>0.53598499999999993</v>
      </c>
      <c r="M190">
        <v>0.49695999999999996</v>
      </c>
      <c r="N190">
        <v>0.45409500000000003</v>
      </c>
      <c r="O190">
        <v>0.40440000000000004</v>
      </c>
      <c r="P190">
        <v>0.35663000000000006</v>
      </c>
      <c r="Q190">
        <v>0.32173500000000005</v>
      </c>
      <c r="R190">
        <v>0.29773500000000003</v>
      </c>
    </row>
    <row r="191" spans="2:19" x14ac:dyDescent="0.3">
      <c r="C191">
        <v>3.0000000000000001E-3</v>
      </c>
      <c r="D191">
        <v>100</v>
      </c>
      <c r="E191" t="s">
        <v>23</v>
      </c>
      <c r="F191" t="s">
        <v>30</v>
      </c>
      <c r="G191">
        <f>(O189-P189)/K189</f>
        <v>5.9223900374949262E-2</v>
      </c>
      <c r="H191">
        <f>(O190-P190)/K190</f>
        <v>8.3654384981787566E-2</v>
      </c>
    </row>
    <row r="192" spans="2:19" x14ac:dyDescent="0.3">
      <c r="C192">
        <v>1.5E-3</v>
      </c>
      <c r="D192">
        <v>200</v>
      </c>
      <c r="E192" t="s">
        <v>24</v>
      </c>
      <c r="F192" t="s">
        <v>30</v>
      </c>
      <c r="G192">
        <f>(P189-Q189)/K189</f>
        <v>4.5596229426734282E-2</v>
      </c>
      <c r="H192">
        <f>(P190-Q190)/K190</f>
        <v>6.1107803306248251E-2</v>
      </c>
    </row>
    <row r="193" spans="3:27" x14ac:dyDescent="0.3">
      <c r="C193">
        <v>5.9999999999999995E-4</v>
      </c>
      <c r="D193">
        <v>500</v>
      </c>
      <c r="E193" t="s">
        <v>25</v>
      </c>
      <c r="F193" t="s">
        <v>30</v>
      </c>
      <c r="G193">
        <f>(Q189-R189)/K189</f>
        <v>2.7383336595943292E-2</v>
      </c>
      <c r="H193">
        <f>(Q190-R190)/K190</f>
        <v>4.2028579434015161E-2</v>
      </c>
    </row>
    <row r="195" spans="3:27" x14ac:dyDescent="0.3">
      <c r="F195" t="s">
        <v>31</v>
      </c>
      <c r="G195">
        <f>SUM(G187:G193)</f>
        <v>0.46261801864205149</v>
      </c>
      <c r="H195">
        <f>SUM(H187:H193)</f>
        <v>0.47860920425889614</v>
      </c>
    </row>
    <row r="197" spans="3:27" x14ac:dyDescent="0.3">
      <c r="F197" t="s">
        <v>28</v>
      </c>
      <c r="G197">
        <f>SUM(G187:G190)</f>
        <v>0.33041455224442468</v>
      </c>
      <c r="H197">
        <f>SUM(H187:H190)</f>
        <v>0.29181843653684514</v>
      </c>
    </row>
    <row r="198" spans="3:27" x14ac:dyDescent="0.3">
      <c r="F198" t="s">
        <v>30</v>
      </c>
      <c r="G198">
        <f>SUM(G191:G193)</f>
        <v>0.13220346639762684</v>
      </c>
      <c r="H198">
        <f>SUM(H191:H193)</f>
        <v>0.186790767722051</v>
      </c>
    </row>
    <row r="200" spans="3:27" x14ac:dyDescent="0.3">
      <c r="F200" t="s">
        <v>28</v>
      </c>
      <c r="G200">
        <f>G197/G195</f>
        <v>0.71422758934965169</v>
      </c>
      <c r="H200">
        <f>H197/H195</f>
        <v>0.60972173944860142</v>
      </c>
    </row>
    <row r="201" spans="3:27" x14ac:dyDescent="0.3">
      <c r="F201" t="s">
        <v>30</v>
      </c>
      <c r="G201">
        <f>G198/G195</f>
        <v>0.28577241065034836</v>
      </c>
      <c r="H201">
        <f>H198/H195</f>
        <v>0.39027826055139858</v>
      </c>
    </row>
    <row r="202" spans="3:27" x14ac:dyDescent="0.3">
      <c r="Y202" t="s">
        <v>52</v>
      </c>
    </row>
    <row r="203" spans="3:27" x14ac:dyDescent="0.3">
      <c r="J203" s="1" t="s">
        <v>52</v>
      </c>
    </row>
    <row r="204" spans="3:27" x14ac:dyDescent="0.3">
      <c r="E204" t="s">
        <v>48</v>
      </c>
      <c r="F204" t="s">
        <v>28</v>
      </c>
      <c r="G204">
        <f>0.714227589349652*100</f>
        <v>71.422758934965202</v>
      </c>
    </row>
    <row r="205" spans="3:27" x14ac:dyDescent="0.3">
      <c r="F205" t="s">
        <v>30</v>
      </c>
      <c r="G205">
        <f>0.285772410650348*100</f>
        <v>28.577241065034798</v>
      </c>
    </row>
    <row r="206" spans="3:27" x14ac:dyDescent="0.3">
      <c r="E206" t="s">
        <v>49</v>
      </c>
      <c r="F206" t="s">
        <v>28</v>
      </c>
      <c r="G206">
        <f>0.609721739448601*100</f>
        <v>60.972173944860096</v>
      </c>
    </row>
    <row r="207" spans="3:27" x14ac:dyDescent="0.3">
      <c r="F207" t="s">
        <v>30</v>
      </c>
      <c r="G207">
        <f>0.390278260551399*100</f>
        <v>39.027826055139904</v>
      </c>
      <c r="Y207" t="s">
        <v>48</v>
      </c>
      <c r="Z207" t="s">
        <v>28</v>
      </c>
      <c r="AA207">
        <v>57.1907600596126</v>
      </c>
    </row>
    <row r="208" spans="3:27" x14ac:dyDescent="0.3">
      <c r="J208" t="s">
        <v>48</v>
      </c>
      <c r="K208" t="s">
        <v>53</v>
      </c>
      <c r="L208">
        <v>65.7378514921255</v>
      </c>
      <c r="AA208">
        <v>68.083572426984489</v>
      </c>
    </row>
    <row r="209" spans="8:27" x14ac:dyDescent="0.3">
      <c r="AA209">
        <v>71.422758934965202</v>
      </c>
    </row>
    <row r="210" spans="8:27" x14ac:dyDescent="0.3">
      <c r="AA210">
        <v>66.254314546939597</v>
      </c>
    </row>
    <row r="212" spans="8:27" x14ac:dyDescent="0.3">
      <c r="AA212">
        <v>42.8092399403874</v>
      </c>
    </row>
    <row r="213" spans="8:27" x14ac:dyDescent="0.3">
      <c r="AA213">
        <v>28.577241065034798</v>
      </c>
    </row>
    <row r="214" spans="8:27" x14ac:dyDescent="0.3">
      <c r="AA214">
        <v>33.745685453060396</v>
      </c>
    </row>
    <row r="215" spans="8:27" x14ac:dyDescent="0.3">
      <c r="K215" t="s">
        <v>54</v>
      </c>
      <c r="L215">
        <f>100-L208</f>
        <v>34.2621485078745</v>
      </c>
      <c r="Z215" t="s">
        <v>30</v>
      </c>
      <c r="AA215">
        <v>31.9164275730155</v>
      </c>
    </row>
    <row r="216" spans="8:27" x14ac:dyDescent="0.3">
      <c r="J216" t="s">
        <v>49</v>
      </c>
      <c r="K216" t="s">
        <v>55</v>
      </c>
      <c r="L216">
        <v>55.60539305044</v>
      </c>
    </row>
    <row r="217" spans="8:27" x14ac:dyDescent="0.3">
      <c r="Y217" t="s">
        <v>49</v>
      </c>
      <c r="Z217" t="s">
        <v>28</v>
      </c>
      <c r="AA217">
        <v>42.318840579710198</v>
      </c>
    </row>
    <row r="218" spans="8:27" x14ac:dyDescent="0.3">
      <c r="H218" t="s">
        <v>56</v>
      </c>
      <c r="I218" t="s">
        <v>57</v>
      </c>
      <c r="AA218">
        <v>60.972173944860096</v>
      </c>
    </row>
    <row r="219" spans="8:27" x14ac:dyDescent="0.3">
      <c r="H219">
        <v>57.1907600596126</v>
      </c>
      <c r="I219">
        <v>42.318840579710198</v>
      </c>
      <c r="AA219">
        <v>63.313491734509498</v>
      </c>
    </row>
    <row r="220" spans="8:27" x14ac:dyDescent="0.3">
      <c r="H220">
        <v>68.083572426984489</v>
      </c>
      <c r="I220">
        <v>60.972173944860096</v>
      </c>
      <c r="AA220">
        <v>55.817065942680202</v>
      </c>
    </row>
    <row r="221" spans="8:27" x14ac:dyDescent="0.3">
      <c r="H221">
        <v>71.422758934965202</v>
      </c>
      <c r="I221">
        <v>63.313491734509498</v>
      </c>
    </row>
    <row r="222" spans="8:27" x14ac:dyDescent="0.3">
      <c r="H222">
        <v>66.254314546939597</v>
      </c>
      <c r="I222">
        <v>55.817065942680202</v>
      </c>
      <c r="AA222">
        <v>57.681159420289795</v>
      </c>
    </row>
    <row r="223" spans="8:27" x14ac:dyDescent="0.3">
      <c r="H223">
        <f>AVERAGE(H219:H222)</f>
        <v>65.737851492125472</v>
      </c>
      <c r="I223">
        <f>AVERAGE(I219:I222)</f>
        <v>55.60539305044</v>
      </c>
      <c r="K223" t="s">
        <v>58</v>
      </c>
      <c r="L223">
        <f>100-L216</f>
        <v>44.39460694956</v>
      </c>
      <c r="AA223">
        <v>39.027826055139904</v>
      </c>
    </row>
    <row r="224" spans="8:27" x14ac:dyDescent="0.3">
      <c r="AA224">
        <v>44.182934057319798</v>
      </c>
    </row>
    <row r="225" spans="2:27" x14ac:dyDescent="0.3">
      <c r="H225">
        <f>H223-I223</f>
        <v>10.132458441685472</v>
      </c>
      <c r="K225" s="19" t="s">
        <v>59</v>
      </c>
      <c r="L225" s="20" t="s">
        <v>60</v>
      </c>
      <c r="Z225" t="s">
        <v>30</v>
      </c>
      <c r="AA225">
        <v>36.686508265490495</v>
      </c>
    </row>
    <row r="229" spans="2:27" x14ac:dyDescent="0.3">
      <c r="C229" t="s">
        <v>13</v>
      </c>
      <c r="D229" t="s">
        <v>14</v>
      </c>
      <c r="E229" t="s">
        <v>36</v>
      </c>
      <c r="F229" t="s">
        <v>26</v>
      </c>
      <c r="G229" t="s">
        <v>37</v>
      </c>
      <c r="H229" t="s">
        <v>38</v>
      </c>
    </row>
    <row r="230" spans="2:27" x14ac:dyDescent="0.3">
      <c r="C230">
        <v>0.12</v>
      </c>
      <c r="D230">
        <v>2.5</v>
      </c>
      <c r="E230" t="s">
        <v>19</v>
      </c>
      <c r="F230" t="s">
        <v>28</v>
      </c>
      <c r="G230">
        <f>(K234-L234)/K234</f>
        <v>6.1593356688724551E-2</v>
      </c>
      <c r="H230">
        <f>(K235-L235)/K235</f>
        <v>6.0169181341250315E-2</v>
      </c>
    </row>
    <row r="231" spans="2:27" x14ac:dyDescent="0.3">
      <c r="C231">
        <v>0.03</v>
      </c>
      <c r="D231">
        <v>10</v>
      </c>
      <c r="E231" t="s">
        <v>20</v>
      </c>
      <c r="F231" t="s">
        <v>28</v>
      </c>
      <c r="G231">
        <f>(L234-M234)/K234</f>
        <v>6.8087452964837369E-2</v>
      </c>
      <c r="H231">
        <f>(L235-M235)/K235</f>
        <v>7.8741171526563292E-2</v>
      </c>
    </row>
    <row r="232" spans="2:27" x14ac:dyDescent="0.3">
      <c r="B232">
        <v>2019</v>
      </c>
      <c r="C232">
        <v>1.2E-2</v>
      </c>
      <c r="D232">
        <v>25</v>
      </c>
      <c r="E232" t="s">
        <v>21</v>
      </c>
      <c r="F232" t="s">
        <v>28</v>
      </c>
      <c r="G232">
        <f>(M234-N234)/K234</f>
        <v>0.11577137667055915</v>
      </c>
      <c r="H232">
        <f>(M235-N235)/K235</f>
        <v>8.115417463093251E-2</v>
      </c>
    </row>
    <row r="233" spans="2:27" x14ac:dyDescent="0.3">
      <c r="C233">
        <v>6.0000000000000001E-3</v>
      </c>
      <c r="D233">
        <v>50</v>
      </c>
      <c r="E233" t="s">
        <v>22</v>
      </c>
      <c r="F233" t="s">
        <v>28</v>
      </c>
      <c r="G233">
        <f>(N234-O234)/K234</f>
        <v>9.522512002076032E-2</v>
      </c>
      <c r="H233">
        <f>(N235-O235)/K235</f>
        <v>9.8601000447354537E-2</v>
      </c>
      <c r="K233">
        <v>0</v>
      </c>
      <c r="L233">
        <v>2.5</v>
      </c>
      <c r="M233">
        <v>10</v>
      </c>
      <c r="N233">
        <v>25</v>
      </c>
      <c r="O233">
        <v>50</v>
      </c>
      <c r="P233">
        <v>100</v>
      </c>
      <c r="Q233">
        <v>200</v>
      </c>
      <c r="R233">
        <v>500</v>
      </c>
    </row>
    <row r="234" spans="2:27" x14ac:dyDescent="0.3">
      <c r="C234">
        <v>3.0000000000000001E-3</v>
      </c>
      <c r="D234">
        <v>100</v>
      </c>
      <c r="E234" t="s">
        <v>23</v>
      </c>
      <c r="F234" t="s">
        <v>30</v>
      </c>
      <c r="G234">
        <f>(O234-P234)/K234</f>
        <v>9.6704294796937693E-2</v>
      </c>
      <c r="H234">
        <f>(O235-P235)/K235</f>
        <v>9.7286049317445403E-2</v>
      </c>
      <c r="I234">
        <v>2019</v>
      </c>
      <c r="J234" t="s">
        <v>39</v>
      </c>
      <c r="K234">
        <v>0.61656</v>
      </c>
      <c r="L234">
        <v>0.57858399999999999</v>
      </c>
      <c r="M234">
        <v>0.53660399999999986</v>
      </c>
      <c r="N234">
        <v>0.46522399999999992</v>
      </c>
      <c r="O234">
        <v>0.40651199999999993</v>
      </c>
      <c r="P234">
        <v>0.34688800000000003</v>
      </c>
      <c r="Q234">
        <v>0.30816399999999999</v>
      </c>
      <c r="R234">
        <v>0.28492799999999996</v>
      </c>
    </row>
    <row r="235" spans="2:27" x14ac:dyDescent="0.3">
      <c r="C235">
        <v>1.5E-3</v>
      </c>
      <c r="D235">
        <v>200</v>
      </c>
      <c r="E235" t="s">
        <v>24</v>
      </c>
      <c r="F235" t="s">
        <v>30</v>
      </c>
      <c r="G235">
        <f>(P234-Q234)/K234</f>
        <v>6.2806539509536838E-2</v>
      </c>
      <c r="H235">
        <f>(P235-Q235)/K235</f>
        <v>7.2688329469817112E-2</v>
      </c>
      <c r="J235" t="s">
        <v>40</v>
      </c>
      <c r="K235">
        <v>0.59013599999999999</v>
      </c>
      <c r="L235">
        <v>0.5546279999999999</v>
      </c>
      <c r="M235">
        <v>0.50815999999999995</v>
      </c>
      <c r="N235">
        <v>0.46026799999999995</v>
      </c>
      <c r="O235">
        <v>0.40207999999999994</v>
      </c>
      <c r="P235">
        <v>0.34466799999999997</v>
      </c>
      <c r="Q235">
        <v>0.30177199999999998</v>
      </c>
      <c r="R235">
        <v>0.27510799999999996</v>
      </c>
    </row>
    <row r="236" spans="2:27" x14ac:dyDescent="0.3">
      <c r="C236">
        <v>5.9999999999999995E-4</v>
      </c>
      <c r="D236">
        <v>500</v>
      </c>
      <c r="E236" t="s">
        <v>25</v>
      </c>
      <c r="F236" t="s">
        <v>30</v>
      </c>
      <c r="G236">
        <f>(Q234-R234)/K234</f>
        <v>3.7686518749189102E-2</v>
      </c>
      <c r="H236">
        <f>(Q235-R235)/K235</f>
        <v>4.5182805319451826E-2</v>
      </c>
    </row>
    <row r="238" spans="2:27" x14ac:dyDescent="0.3">
      <c r="F238" t="s">
        <v>31</v>
      </c>
      <c r="G238">
        <f>SUM(G230:G236)</f>
        <v>0.53787465940054502</v>
      </c>
      <c r="H238">
        <f>SUM(H230:H236)</f>
        <v>0.53382271205281495</v>
      </c>
    </row>
    <row r="240" spans="2:27" x14ac:dyDescent="0.3">
      <c r="F240" t="s">
        <v>28</v>
      </c>
      <c r="G240">
        <f>SUM(G230:G233)</f>
        <v>0.34067730634488141</v>
      </c>
      <c r="H240">
        <f>SUM(H230:H233)</f>
        <v>0.31866552794610065</v>
      </c>
    </row>
    <row r="241" spans="5:11" x14ac:dyDescent="0.3">
      <c r="F241" t="s">
        <v>30</v>
      </c>
      <c r="G241">
        <f>SUM(G234:G236)</f>
        <v>0.19719735305566363</v>
      </c>
      <c r="H241">
        <f>SUM(H234:H236)</f>
        <v>0.21515718410671433</v>
      </c>
    </row>
    <row r="243" spans="5:11" x14ac:dyDescent="0.3">
      <c r="F243" t="s">
        <v>28</v>
      </c>
      <c r="G243">
        <f>G240/G238</f>
        <v>0.63337675495730228</v>
      </c>
      <c r="H243">
        <f>H240/H238</f>
        <v>0.59695011237096396</v>
      </c>
    </row>
    <row r="244" spans="5:11" x14ac:dyDescent="0.3">
      <c r="F244" t="s">
        <v>30</v>
      </c>
      <c r="G244">
        <f>G241/G238</f>
        <v>0.36662324504269778</v>
      </c>
      <c r="H244">
        <f>H241/H238</f>
        <v>0.40304988762903604</v>
      </c>
    </row>
    <row r="247" spans="5:11" x14ac:dyDescent="0.3">
      <c r="E247" t="s">
        <v>48</v>
      </c>
      <c r="F247" t="s">
        <v>28</v>
      </c>
      <c r="G247">
        <f>0.633376754957302*100</f>
        <v>63.337675495730196</v>
      </c>
      <c r="J247" t="s">
        <v>61</v>
      </c>
    </row>
    <row r="248" spans="5:11" x14ac:dyDescent="0.3">
      <c r="F248" t="s">
        <v>30</v>
      </c>
      <c r="G248">
        <f>0.366623245042698*100</f>
        <v>36.662324504269797</v>
      </c>
    </row>
    <row r="249" spans="5:11" x14ac:dyDescent="0.3">
      <c r="E249" t="s">
        <v>49</v>
      </c>
      <c r="F249" t="s">
        <v>28</v>
      </c>
      <c r="G249">
        <f>0.596950112370964*100</f>
        <v>59.695011237096395</v>
      </c>
      <c r="J249" t="s">
        <v>28</v>
      </c>
    </row>
    <row r="250" spans="5:11" x14ac:dyDescent="0.3">
      <c r="F250" t="s">
        <v>30</v>
      </c>
      <c r="G250">
        <f>0.403049887629036*100</f>
        <v>40.304988762903598</v>
      </c>
      <c r="J250" t="s">
        <v>56</v>
      </c>
      <c r="K250" t="s">
        <v>57</v>
      </c>
    </row>
    <row r="251" spans="5:11" x14ac:dyDescent="0.3">
      <c r="J251">
        <v>57.1907600596126</v>
      </c>
      <c r="K251">
        <v>42.318840579710198</v>
      </c>
    </row>
    <row r="252" spans="5:11" x14ac:dyDescent="0.3">
      <c r="J252">
        <v>68.083572426984489</v>
      </c>
      <c r="K252">
        <v>60.972173944860096</v>
      </c>
    </row>
    <row r="253" spans="5:11" x14ac:dyDescent="0.3">
      <c r="J253">
        <v>71.422758934965202</v>
      </c>
      <c r="K253">
        <v>63.313491734509498</v>
      </c>
    </row>
    <row r="254" spans="5:11" x14ac:dyDescent="0.3">
      <c r="J254">
        <v>66.254314546939597</v>
      </c>
      <c r="K254">
        <v>55.817065942680202</v>
      </c>
    </row>
    <row r="255" spans="5:11" x14ac:dyDescent="0.3">
      <c r="J255">
        <v>63.337675495730196</v>
      </c>
      <c r="K255">
        <v>59.695011237096395</v>
      </c>
    </row>
    <row r="256" spans="5:11" x14ac:dyDescent="0.3">
      <c r="J256">
        <f>AVERAGE(J251:J255)</f>
        <v>65.257816292846414</v>
      </c>
      <c r="K256">
        <f>AVERAGE(K251:K255)</f>
        <v>56.423316687771283</v>
      </c>
    </row>
    <row r="258" spans="10:12" x14ac:dyDescent="0.3">
      <c r="J258">
        <f>J256-K256</f>
        <v>8.8344996050751305</v>
      </c>
    </row>
    <row r="260" spans="10:12" x14ac:dyDescent="0.3">
      <c r="K260" s="19" t="s">
        <v>59</v>
      </c>
      <c r="L260" s="19" t="s">
        <v>62</v>
      </c>
    </row>
  </sheetData>
  <mergeCells count="2">
    <mergeCell ref="G3:H3"/>
    <mergeCell ref="K3:L3"/>
  </mergeCells>
  <pageMargins left="0.7" right="0.7" top="0.75" bottom="0.75" header="0.3" footer="0.3"/>
  <pageSetup scale="57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Pore Diameters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Moore, Eric B [AGRON]</dc:creator>
  <cp:lastModifiedBy>Virginia Nichols</cp:lastModifiedBy>
  <dcterms:created xsi:type="dcterms:W3CDTF">2021-05-20T18:21:06Z</dcterms:created>
  <dcterms:modified xsi:type="dcterms:W3CDTF">2021-06-03T18:37:34Z</dcterms:modified>
</cp:coreProperties>
</file>